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o58210\Downloads\"/>
    </mc:Choice>
  </mc:AlternateContent>
  <xr:revisionPtr revIDLastSave="0" documentId="13_ncr:1_{3F049621-863C-4650-AC83-E93BD774338C}" xr6:coauthVersionLast="47" xr6:coauthVersionMax="47" xr10:uidLastSave="{00000000-0000-0000-0000-000000000000}"/>
  <bookViews>
    <workbookView xWindow="-110" yWindow="-110" windowWidth="19420" windowHeight="10300" firstSheet="4" activeTab="5" xr2:uid="{D6A7894C-F9AD-4A8F-AF6F-F228C1F2B9A0}"/>
  </bookViews>
  <sheets>
    <sheet name="Changed TB" sheetId="8" state="hidden" r:id="rId1"/>
    <sheet name="Q1 (a)" sheetId="10" r:id="rId2"/>
    <sheet name="Q1 (a) Notes" sheetId="9" r:id="rId3"/>
    <sheet name="Q1 (b)" sheetId="11" r:id="rId4"/>
    <sheet name="Q1 (c)" sheetId="12" r:id="rId5"/>
    <sheet name="Q2 PART A" sheetId="3" r:id="rId6"/>
    <sheet name="Q2 PART B" sheetId="4" r:id="rId7"/>
    <sheet name="Q3 (a) - (b)" sheetId="5" r:id="rId8"/>
    <sheet name="Q4 (a) - (b)" sheetId="6" r:id="rId9"/>
    <sheet name="Q4 (c) - (d)" sheetId="7" r:id="rId10"/>
  </sheets>
  <definedNames>
    <definedName name="_xlnm.Print_Titles" localSheetId="5">'Q2 PART A'!$1:$1</definedName>
    <definedName name="_xlnm.Print_Titles" localSheetId="6">'Q2 PART B'!$1:$1</definedName>
    <definedName name="_xlnm.Print_Titles" localSheetId="7">'Q3 (a) - (b)'!$1:$1</definedName>
    <definedName name="_xlnm.Print_Titles" localSheetId="8">'Q4 (a) - (b)'!$1:$1</definedName>
    <definedName name="_xlnm.Print_Titles" localSheetId="9">'Q4 (c) - (d)'!$1:$1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5" l="1"/>
  <c r="E7" i="12"/>
  <c r="D14" i="12"/>
  <c r="E14" i="12"/>
  <c r="C18" i="12"/>
  <c r="C20" i="12"/>
  <c r="E29" i="12"/>
  <c r="E38" i="12"/>
  <c r="E39" i="12"/>
  <c r="E40" i="12"/>
  <c r="C41" i="12"/>
  <c r="D41" i="12"/>
  <c r="D43" i="12"/>
  <c r="E43" i="12"/>
  <c r="D6" i="10"/>
  <c r="D7" i="10" s="1"/>
  <c r="C8" i="10"/>
  <c r="C9" i="10"/>
  <c r="D9" i="10" s="1"/>
  <c r="D11" i="10"/>
  <c r="D14" i="10"/>
  <c r="C6" i="9"/>
  <c r="C8" i="9"/>
  <c r="C17" i="9" s="1"/>
  <c r="C10" i="9"/>
  <c r="E10" i="9"/>
  <c r="G10" i="9"/>
  <c r="D10" i="9" s="1"/>
  <c r="G11" i="9"/>
  <c r="C11" i="9" s="1"/>
  <c r="G16" i="9"/>
  <c r="E16" i="9" s="1"/>
  <c r="B28" i="8"/>
  <c r="C28" i="8"/>
  <c r="D6" i="7"/>
  <c r="D7" i="7" s="1"/>
  <c r="D11" i="7"/>
  <c r="D12" i="7" s="1"/>
  <c r="D20" i="7" s="1"/>
  <c r="D19" i="7"/>
  <c r="D25" i="7"/>
  <c r="D26" i="7"/>
  <c r="D27" i="7"/>
  <c r="I3" i="6"/>
  <c r="E4" i="6" s="1"/>
  <c r="I4" i="6" s="1"/>
  <c r="E7" i="6" s="1"/>
  <c r="C5" i="6"/>
  <c r="I5" i="6" s="1"/>
  <c r="E6" i="6"/>
  <c r="G9" i="6"/>
  <c r="E13" i="6"/>
  <c r="E14" i="6"/>
  <c r="G15" i="6" s="1"/>
  <c r="I35" i="6" s="1"/>
  <c r="E15" i="6"/>
  <c r="G26" i="6" s="1"/>
  <c r="I26" i="6" s="1"/>
  <c r="G19" i="6"/>
  <c r="G20" i="6"/>
  <c r="G21" i="6"/>
  <c r="G23" i="6"/>
  <c r="I36" i="6" s="1"/>
  <c r="E31" i="6"/>
  <c r="E7" i="5"/>
  <c r="C10" i="5"/>
  <c r="D11" i="5"/>
  <c r="D13" i="5"/>
  <c r="D15" i="5"/>
  <c r="D20" i="5" s="1"/>
  <c r="E33" i="5" s="1"/>
  <c r="E34" i="5" s="1"/>
  <c r="E37" i="5" s="1"/>
  <c r="E36" i="5" s="1"/>
  <c r="D17" i="5"/>
  <c r="D19" i="5"/>
  <c r="C23" i="5"/>
  <c r="D25" i="5" s="1"/>
  <c r="D12" i="4"/>
  <c r="C28" i="4" s="1"/>
  <c r="C34" i="4" s="1"/>
  <c r="C18" i="4"/>
  <c r="D24" i="4"/>
  <c r="C45" i="4"/>
  <c r="C5" i="3"/>
  <c r="C7" i="3" s="1"/>
  <c r="E5" i="3"/>
  <c r="E7" i="3" s="1"/>
  <c r="G5" i="3"/>
  <c r="G7" i="3" s="1"/>
  <c r="C13" i="3"/>
  <c r="E13" i="3"/>
  <c r="G13" i="3"/>
  <c r="C15" i="3"/>
  <c r="E15" i="3"/>
  <c r="G15" i="3"/>
  <c r="C17" i="3"/>
  <c r="E17" i="3"/>
  <c r="G17" i="3"/>
  <c r="C18" i="3"/>
  <c r="E18" i="3"/>
  <c r="G18" i="3"/>
  <c r="C19" i="3"/>
  <c r="E19" i="3"/>
  <c r="G19" i="3"/>
  <c r="C32" i="3"/>
  <c r="E32" i="3"/>
  <c r="G32" i="3"/>
  <c r="C37" i="3"/>
  <c r="E37" i="3"/>
  <c r="G37" i="3"/>
  <c r="C38" i="3"/>
  <c r="E38" i="3"/>
  <c r="G38" i="3"/>
  <c r="C55" i="3"/>
  <c r="C57" i="3" s="1"/>
  <c r="G43" i="3" s="1"/>
  <c r="G44" i="3" s="1"/>
  <c r="C56" i="3"/>
  <c r="C39" i="3" s="1"/>
  <c r="G20" i="3" l="1"/>
  <c r="E20" i="3"/>
  <c r="C20" i="3"/>
  <c r="G39" i="3"/>
  <c r="G46" i="3" s="1"/>
  <c r="G48" i="3" s="1"/>
  <c r="D10" i="10"/>
  <c r="D13" i="10" s="1"/>
  <c r="D15" i="10" s="1"/>
  <c r="D17" i="10" s="1"/>
  <c r="C6" i="11" s="1"/>
  <c r="C7" i="11" s="1"/>
  <c r="C9" i="11" s="1"/>
  <c r="E28" i="12" s="1"/>
  <c r="E30" i="12" s="1"/>
  <c r="E41" i="12"/>
  <c r="E44" i="12" s="1"/>
  <c r="E6" i="12" s="1"/>
  <c r="E9" i="12" s="1"/>
  <c r="E15" i="12" s="1"/>
  <c r="D20" i="12"/>
  <c r="E23" i="12" s="1"/>
  <c r="D17" i="9"/>
  <c r="E17" i="9"/>
  <c r="D16" i="9"/>
  <c r="E11" i="9"/>
  <c r="D11" i="9"/>
  <c r="E9" i="6"/>
  <c r="I9" i="6" s="1"/>
  <c r="C6" i="6"/>
  <c r="I6" i="6" s="1"/>
  <c r="G7" i="6" s="1"/>
  <c r="I7" i="6" s="1"/>
  <c r="E37" i="6" s="1"/>
  <c r="I37" i="6" s="1"/>
  <c r="I38" i="6" s="1"/>
  <c r="C46" i="3"/>
  <c r="C45" i="3"/>
  <c r="G42" i="3"/>
  <c r="G22" i="3"/>
  <c r="G23" i="3" s="1"/>
  <c r="G24" i="3" s="1"/>
  <c r="G26" i="3" s="1"/>
  <c r="C40" i="3"/>
  <c r="E22" i="3"/>
  <c r="E42" i="3"/>
  <c r="C42" i="3"/>
  <c r="C22" i="3"/>
  <c r="C23" i="3" s="1"/>
  <c r="C24" i="3" s="1"/>
  <c r="C26" i="3" s="1"/>
  <c r="C34" i="3"/>
  <c r="E43" i="3"/>
  <c r="E44" i="3" s="1"/>
  <c r="G45" i="3"/>
  <c r="C43" i="3"/>
  <c r="C44" i="3" s="1"/>
  <c r="E39" i="3"/>
  <c r="G34" i="3"/>
  <c r="E34" i="3"/>
  <c r="E23" i="3" l="1"/>
  <c r="E24" i="3" s="1"/>
  <c r="E26" i="3" s="1"/>
  <c r="G40" i="3"/>
  <c r="E24" i="12"/>
  <c r="E46" i="3"/>
  <c r="E48" i="3" s="1"/>
  <c r="E45" i="3"/>
  <c r="C48" i="3"/>
  <c r="E40" i="3"/>
</calcChain>
</file>

<file path=xl/sharedStrings.xml><?xml version="1.0" encoding="utf-8"?>
<sst xmlns="http://schemas.openxmlformats.org/spreadsheetml/2006/main" count="452" uniqueCount="308">
  <si>
    <t>£000</t>
  </si>
  <si>
    <t>£1 Ordinary Shares</t>
  </si>
  <si>
    <t>12% Debentures</t>
  </si>
  <si>
    <t>Sales Revenue</t>
  </si>
  <si>
    <t>Purchases</t>
  </si>
  <si>
    <t>Distribution Costs</t>
  </si>
  <si>
    <t>Debenture Finance Cost</t>
  </si>
  <si>
    <t>Investment Revenues (Bank Interest)</t>
  </si>
  <si>
    <t>Cash &amp; Cash Equivalents</t>
  </si>
  <si>
    <t>Wages &amp; Salaries</t>
  </si>
  <si>
    <t>General Expenses</t>
  </si>
  <si>
    <t>Marketing Costs</t>
  </si>
  <si>
    <t>Goodwill</t>
  </si>
  <si>
    <t>Property</t>
  </si>
  <si>
    <t>Plant &amp; Machinery</t>
  </si>
  <si>
    <t>Provision for Depreciation: Plant &amp; Machinery</t>
  </si>
  <si>
    <t>Trade Receivables</t>
  </si>
  <si>
    <t>Trade Payables</t>
  </si>
  <si>
    <t>Investments (Market Value (1,400,000)</t>
  </si>
  <si>
    <t>Share Premium</t>
  </si>
  <si>
    <t>Income from Investments</t>
  </si>
  <si>
    <t>Ordinary Dividend Paid</t>
  </si>
  <si>
    <t>Inventory at 1 January Year 5</t>
  </si>
  <si>
    <t>Directors' Remuneration</t>
  </si>
  <si>
    <t>Net Discounts</t>
  </si>
  <si>
    <t>Revaluation Reserve</t>
  </si>
  <si>
    <t>Retained Earnings at 1 January Year 5</t>
  </si>
  <si>
    <t>Question</t>
  </si>
  <si>
    <t>Expected response(s)</t>
  </si>
  <si>
    <t>Max mark</t>
  </si>
  <si>
    <t>Additional Guidance</t>
  </si>
  <si>
    <t>1. (a)</t>
  </si>
  <si>
    <t>BAKER PLC</t>
  </si>
  <si>
    <t>INCOME STATEMENT FOR THE YEAR ENDED 31 DECEMBER YEAR 5</t>
  </si>
  <si>
    <t>Opening Retained Earnings</t>
  </si>
  <si>
    <t>Less Cost of Sales</t>
  </si>
  <si>
    <t>*</t>
  </si>
  <si>
    <t>GROSS PROFIT</t>
  </si>
  <si>
    <t>Less Administration Expenses</t>
  </si>
  <si>
    <t>Less Distribution Expenses</t>
  </si>
  <si>
    <t>*11</t>
  </si>
  <si>
    <t>PROFIT FROM OPERATIONS</t>
  </si>
  <si>
    <t>Other Income (78 + 20)</t>
  </si>
  <si>
    <r>
      <rPr>
        <b/>
        <sz val="11"/>
        <color rgb="FFFF0000"/>
        <rFont val="Trebuchet MS"/>
        <family val="2"/>
      </rPr>
      <t>1</t>
    </r>
    <r>
      <rPr>
        <sz val="11"/>
        <color theme="1"/>
        <rFont val="Trebuchet MS"/>
        <family val="2"/>
      </rPr>
      <t xml:space="preserve"> for Profit on Sale (150 - 130) and </t>
    </r>
    <r>
      <rPr>
        <b/>
        <sz val="11"/>
        <color rgb="FFFF0000"/>
        <rFont val="Trebuchet MS"/>
        <family val="2"/>
      </rPr>
      <t xml:space="preserve">1 </t>
    </r>
    <r>
      <rPr>
        <sz val="11"/>
        <color theme="1"/>
        <rFont val="Trebuchet MS"/>
        <family val="2"/>
      </rPr>
      <t>Investment Income</t>
    </r>
  </si>
  <si>
    <t xml:space="preserve">Other Expenses </t>
  </si>
  <si>
    <t>PROFIT BEFORE FINANCE COSTS</t>
  </si>
  <si>
    <t xml:space="preserve">Finance Costs </t>
  </si>
  <si>
    <r>
      <rPr>
        <b/>
        <sz val="11"/>
        <color rgb="FFFF0000"/>
        <rFont val="Trebuchet MS"/>
        <family val="2"/>
      </rPr>
      <t>1</t>
    </r>
    <r>
      <rPr>
        <sz val="11"/>
        <color theme="1"/>
        <rFont val="Trebuchet MS"/>
        <family val="2"/>
      </rPr>
      <t xml:space="preserve"> for Finance Cost 12% x 2,000 = (240)</t>
    </r>
  </si>
  <si>
    <t>PROFIT BEFORE TAX</t>
  </si>
  <si>
    <r>
      <rPr>
        <b/>
        <sz val="11"/>
        <color rgb="FFFF0000"/>
        <rFont val="Trebuchet MS"/>
        <family val="2"/>
      </rPr>
      <t>1</t>
    </r>
    <r>
      <rPr>
        <sz val="11"/>
        <color theme="1"/>
        <rFont val="Trebuchet MS"/>
        <family val="2"/>
      </rPr>
      <t xml:space="preserve"> for Finance Income: Interest Received 12</t>
    </r>
  </si>
  <si>
    <t>Taxation</t>
  </si>
  <si>
    <t>PROFIT FOR THE YEAR</t>
  </si>
  <si>
    <r>
      <t xml:space="preserve">All labels &amp; heading (in </t>
    </r>
    <r>
      <rPr>
        <b/>
        <sz val="11"/>
        <color theme="1"/>
        <rFont val="Trebuchet MS"/>
        <family val="2"/>
      </rPr>
      <t>bold</t>
    </r>
    <r>
      <rPr>
        <sz val="11"/>
        <color theme="1"/>
        <rFont val="Trebuchet MS"/>
        <family val="2"/>
      </rPr>
      <t>) present, arithmetic accuracy and no extraneous items</t>
    </r>
  </si>
  <si>
    <r>
      <t xml:space="preserve">Labels/no extraneous/arithmetic correct (L/E/A) </t>
    </r>
    <r>
      <rPr>
        <b/>
        <sz val="11"/>
        <color rgb="FFFF0000"/>
        <rFont val="Trebuchet MS"/>
        <family val="2"/>
      </rPr>
      <t>1</t>
    </r>
  </si>
  <si>
    <t>Marks</t>
  </si>
  <si>
    <t>WORKING NOTES</t>
  </si>
  <si>
    <t>ADMIN</t>
  </si>
  <si>
    <t>DISTRIBUTION</t>
  </si>
  <si>
    <t>Opening Inventory</t>
  </si>
  <si>
    <t>less Closing Inventory</t>
  </si>
  <si>
    <t>*1</t>
  </si>
  <si>
    <t>1 for all 3</t>
  </si>
  <si>
    <t>*2</t>
  </si>
  <si>
    <t>2 for Distribution costs, marketing costs and directors' remuneration</t>
  </si>
  <si>
    <t>Audit Fee</t>
  </si>
  <si>
    <t xml:space="preserve">Depreciation: Plant &amp; Machinery </t>
  </si>
  <si>
    <r>
      <t xml:space="preserve">(2,300-300)-(420-170)x10% </t>
    </r>
    <r>
      <rPr>
        <b/>
        <sz val="11"/>
        <color rgb="FFFF0000"/>
        <rFont val="Trebuchet MS"/>
        <family val="2"/>
      </rPr>
      <t>(1)</t>
    </r>
  </si>
  <si>
    <t>1. (b)</t>
  </si>
  <si>
    <t xml:space="preserve">BAKER PLC </t>
  </si>
  <si>
    <t>STATEMENT OF RETAINED EARNINGS FOR THE YEAR ENDED 31 DECEMBER YEAR 5</t>
  </si>
  <si>
    <t>add Profit for the Year</t>
  </si>
  <si>
    <t>less Dividends paid</t>
  </si>
  <si>
    <t>Closing Retained Earnings</t>
  </si>
  <si>
    <t>1. (c)</t>
  </si>
  <si>
    <t>STATEMENT OF FINANCIAL POSITION AS AT 31 DECEMBER YEAR 5</t>
  </si>
  <si>
    <t>Tangible Assets</t>
  </si>
  <si>
    <t>Intangible Assets (300 - 100)</t>
  </si>
  <si>
    <t>Investments</t>
  </si>
  <si>
    <t>CURRENT ASSETS</t>
  </si>
  <si>
    <t>Inventory</t>
  </si>
  <si>
    <r>
      <rPr>
        <b/>
        <sz val="11"/>
        <color rgb="FFFF0000"/>
        <rFont val="Trebuchet MS"/>
        <family val="2"/>
      </rPr>
      <t>1</t>
    </r>
    <r>
      <rPr>
        <sz val="11"/>
        <color theme="1"/>
        <rFont val="Trebuchet MS"/>
        <family val="2"/>
      </rPr>
      <t xml:space="preserve"> for both Inventory and Trade Receivalables</t>
    </r>
  </si>
  <si>
    <t>*1 for both</t>
  </si>
  <si>
    <t>Other Receivables</t>
  </si>
  <si>
    <t>**</t>
  </si>
  <si>
    <r>
      <t xml:space="preserve">Cash &amp; Cash Equivalents (510 </t>
    </r>
    <r>
      <rPr>
        <b/>
        <sz val="11"/>
        <color rgb="FFFF0000"/>
        <rFont val="Trebuchet MS"/>
        <family val="2"/>
      </rPr>
      <t>(1)</t>
    </r>
    <r>
      <rPr>
        <sz val="11"/>
        <color theme="1"/>
        <rFont val="Trebuchet MS"/>
        <family val="2"/>
      </rPr>
      <t xml:space="preserve"> + 150 </t>
    </r>
    <r>
      <rPr>
        <b/>
        <sz val="11"/>
        <color rgb="FFFF0000"/>
        <rFont val="Trebuchet MS"/>
        <family val="2"/>
      </rPr>
      <t>(1)</t>
    </r>
    <r>
      <rPr>
        <sz val="11"/>
        <color theme="1"/>
        <rFont val="Trebuchet MS"/>
        <family val="2"/>
      </rPr>
      <t>)</t>
    </r>
  </si>
  <si>
    <t>TOTAL ASSETS</t>
  </si>
  <si>
    <t>CURRENT LIABILITIES</t>
  </si>
  <si>
    <t>**1 for both</t>
  </si>
  <si>
    <r>
      <rPr>
        <b/>
        <sz val="11"/>
        <color rgb="FFFF0000"/>
        <rFont val="Trebuchet MS"/>
        <family val="2"/>
      </rPr>
      <t xml:space="preserve">1 </t>
    </r>
    <r>
      <rPr>
        <sz val="11"/>
        <rFont val="Trebuchet MS"/>
        <family val="2"/>
      </rPr>
      <t>for both Other Receivables and Trade Payables</t>
    </r>
  </si>
  <si>
    <t>Other Paybles (210 + 68)</t>
  </si>
  <si>
    <t>Debenture Finance Cost due</t>
  </si>
  <si>
    <t>Corporation Tax due</t>
  </si>
  <si>
    <t>NON CURRENT LIABILITES</t>
  </si>
  <si>
    <t>TOTAL LIABILITIES</t>
  </si>
  <si>
    <t>NET ASSETS</t>
  </si>
  <si>
    <t>EQUITY</t>
  </si>
  <si>
    <t>Retained Earnings</t>
  </si>
  <si>
    <t>Revaluation Reserve (840 + 640)</t>
  </si>
  <si>
    <r>
      <rPr>
        <b/>
        <sz val="11"/>
        <color rgb="FFFF0000"/>
        <rFont val="Trebuchet MS"/>
        <family val="2"/>
      </rPr>
      <t>1 mark</t>
    </r>
    <r>
      <rPr>
        <sz val="11"/>
        <color theme="1"/>
        <rFont val="Trebuchet MS"/>
        <family val="2"/>
      </rPr>
      <t xml:space="preserve"> (H/L/A/E)</t>
    </r>
  </si>
  <si>
    <t>TANGIBLE ASSETS</t>
  </si>
  <si>
    <t>COST</t>
  </si>
  <si>
    <t>AGG DEP</t>
  </si>
  <si>
    <t>NBV</t>
  </si>
  <si>
    <t>1 April Year 5</t>
  </si>
  <si>
    <t>Disposal</t>
  </si>
  <si>
    <t>(1 for line)</t>
  </si>
  <si>
    <t xml:space="preserve">Depreciation </t>
  </si>
  <si>
    <t>Value 31 March Year 5</t>
  </si>
  <si>
    <t>TANGIBLE ASSETS TOTAL</t>
  </si>
  <si>
    <t xml:space="preserve">2A. (a) </t>
  </si>
  <si>
    <t>January</t>
  </si>
  <si>
    <t>February</t>
  </si>
  <si>
    <t>March</t>
  </si>
  <si>
    <t>Opening inventory</t>
  </si>
  <si>
    <t>2</t>
  </si>
  <si>
    <t>Award 1 mark for correctly entering January as 1,000; second mark for both February and March correctly entered.</t>
  </si>
  <si>
    <t>Production</t>
  </si>
  <si>
    <t>Sales</t>
  </si>
  <si>
    <t>Closing inventory</t>
  </si>
  <si>
    <t xml:space="preserve">2A. (b) </t>
  </si>
  <si>
    <t>Marginal Costing Statement</t>
  </si>
  <si>
    <t>£</t>
  </si>
  <si>
    <t>1 for line</t>
  </si>
  <si>
    <t>* The closing inventory marks for Jan &amp; Feb are for having both these and their corresponding opening inventories correct.</t>
  </si>
  <si>
    <t>Materials</t>
  </si>
  <si>
    <t>Labour</t>
  </si>
  <si>
    <t>Overheads</t>
  </si>
  <si>
    <t>1**</t>
  </si>
  <si>
    <t>Production costs</t>
  </si>
  <si>
    <t>Contribution</t>
  </si>
  <si>
    <t>1 for line***</t>
  </si>
  <si>
    <t>Fixed costs</t>
  </si>
  <si>
    <t>Profit</t>
  </si>
  <si>
    <t xml:space="preserve">2A. (c) </t>
  </si>
  <si>
    <t>Absorption Costing Statement</t>
  </si>
  <si>
    <t>Variable overheads</t>
  </si>
  <si>
    <t>Fixed overheads</t>
  </si>
  <si>
    <t>*1 for Jan, 1 for Feb and Mar</t>
  </si>
  <si>
    <t>**1</t>
  </si>
  <si>
    <t>**1 for Jan Cl Inv, 1 for Op In and Cl Inv in Feb and Mar</t>
  </si>
  <si>
    <t>Over/under</t>
  </si>
  <si>
    <t>Omission of a clear label as to under/over absorbed will accrue a maximum of 3 out of 4 marks.</t>
  </si>
  <si>
    <t>Accept figures without negative symbol or brackets only where under or over absorption is clearly stated.</t>
  </si>
  <si>
    <t>CPU working</t>
  </si>
  <si>
    <t>Variable overhead</t>
  </si>
  <si>
    <t>VC per unit</t>
  </si>
  <si>
    <t>FC per unit (90,000/60,000)</t>
  </si>
  <si>
    <t>TC per unit</t>
  </si>
  <si>
    <t>2A. (d)</t>
  </si>
  <si>
    <t>Describe one advantage and one disadvantage of the Internal Rate of Return method of Investment Appraisal.</t>
  </si>
  <si>
    <t>Advantages</t>
  </si>
  <si>
    <t>Any 1 for 1 mark</t>
  </si>
  <si>
    <r>
      <t xml:space="preserve">Considers the time value of money </t>
    </r>
    <r>
      <rPr>
        <sz val="11"/>
        <color rgb="FFFF0000"/>
        <rFont val="Trebuchet MS"/>
        <family val="2"/>
      </rPr>
      <t>(1)</t>
    </r>
  </si>
  <si>
    <r>
      <t xml:space="preserve">Considers all cash flows </t>
    </r>
    <r>
      <rPr>
        <sz val="11"/>
        <color rgb="FFFF0000"/>
        <rFont val="Trebuchet MS"/>
        <family val="2"/>
      </rPr>
      <t>(1)</t>
    </r>
  </si>
  <si>
    <r>
      <t xml:space="preserve">Simplicity in reflecting a project's profitability as a percentage, making comparisons easier </t>
    </r>
    <r>
      <rPr>
        <sz val="11"/>
        <color rgb="FFFF0000"/>
        <rFont val="Trebuchet MS"/>
        <family val="2"/>
      </rPr>
      <t>(1)</t>
    </r>
  </si>
  <si>
    <r>
      <t xml:space="preserve">Not necessary to select a required rate of return </t>
    </r>
    <r>
      <rPr>
        <sz val="11"/>
        <color rgb="FFFF0000"/>
        <rFont val="Trebuchet MS"/>
        <family val="2"/>
      </rPr>
      <t>(1)</t>
    </r>
  </si>
  <si>
    <t>Disadvantages</t>
  </si>
  <si>
    <r>
      <t xml:space="preserve">Cannot be used to compare projects of different sizes </t>
    </r>
    <r>
      <rPr>
        <sz val="11"/>
        <color rgb="FFFF0000"/>
        <rFont val="Trebuchet MS"/>
        <family val="2"/>
      </rPr>
      <t>(1)</t>
    </r>
  </si>
  <si>
    <r>
      <t>IRR doesn't consider the absolute scale of the investment or the total cash flows it will generate,</t>
    </r>
    <r>
      <rPr>
        <sz val="11"/>
        <color rgb="FFFF0000"/>
        <rFont val="Trebuchet MS"/>
        <family val="2"/>
      </rPr>
      <t xml:space="preserve"> (1)</t>
    </r>
  </si>
  <si>
    <r>
      <t xml:space="preserve">therefore it can be confusing. </t>
    </r>
    <r>
      <rPr>
        <sz val="11"/>
        <color rgb="FFFF0000"/>
        <rFont val="Trebuchet MS"/>
        <family val="2"/>
      </rPr>
      <t>(1)</t>
    </r>
  </si>
  <si>
    <r>
      <t xml:space="preserve">Results can be misleading if cash flows are negative </t>
    </r>
    <r>
      <rPr>
        <sz val="11"/>
        <color rgb="FFFF0000"/>
        <rFont val="Trebuchet MS"/>
        <family val="2"/>
      </rPr>
      <t>(1)</t>
    </r>
  </si>
  <si>
    <r>
      <t xml:space="preserve">Calculations are difficult </t>
    </r>
    <r>
      <rPr>
        <sz val="11"/>
        <color rgb="FFFF0000"/>
        <rFont val="Trebuchet MS"/>
        <family val="2"/>
      </rPr>
      <t xml:space="preserve">(1) </t>
    </r>
  </si>
  <si>
    <r>
      <t xml:space="preserve">Can give more than 1 answer, depending upon range used </t>
    </r>
    <r>
      <rPr>
        <sz val="11"/>
        <color rgb="FFFF0000"/>
        <rFont val="Trebuchet MS"/>
        <family val="2"/>
      </rPr>
      <t>(1)</t>
    </r>
  </si>
  <si>
    <t>2B. (a)</t>
  </si>
  <si>
    <t>1 mark for calculation</t>
  </si>
  <si>
    <t>1 mark for favourable indication</t>
  </si>
  <si>
    <t>£3,500 A = (Labour Efficiency Var – 15,500 A)</t>
  </si>
  <si>
    <r>
      <t xml:space="preserve">Labour Efficiency Var = 12,000 </t>
    </r>
    <r>
      <rPr>
        <b/>
        <sz val="11"/>
        <color rgb="FFFF0000"/>
        <rFont val="Trebuchet MS"/>
        <family val="2"/>
      </rPr>
      <t>1</t>
    </r>
    <r>
      <rPr>
        <sz val="11"/>
        <color theme="1"/>
        <rFont val="Trebuchet MS"/>
        <family val="2"/>
      </rPr>
      <t xml:space="preserve"> Favourable </t>
    </r>
    <r>
      <rPr>
        <b/>
        <sz val="11"/>
        <color rgb="FFFF0000"/>
        <rFont val="Trebuchet MS"/>
        <family val="2"/>
      </rPr>
      <t>1</t>
    </r>
  </si>
  <si>
    <t>2B. (b)</t>
  </si>
  <si>
    <t>Using Total Labour Cost Variance:</t>
  </si>
  <si>
    <t>(Standard Rate × Standard Total Hours) – Actual Cost = Variance</t>
  </si>
  <si>
    <t>Standard Hours = 8,000 units x 4 hours =</t>
  </si>
  <si>
    <t>hours</t>
  </si>
  <si>
    <t>£12 x 32,000 hours - Actual Cost = £3,500 A</t>
  </si>
  <si>
    <r>
      <t xml:space="preserve">£384,000 </t>
    </r>
    <r>
      <rPr>
        <b/>
        <sz val="11"/>
        <color rgb="FFFF0000"/>
        <rFont val="Trebuchet MS"/>
        <family val="2"/>
      </rPr>
      <t>1</t>
    </r>
    <r>
      <rPr>
        <b/>
        <sz val="11"/>
        <color theme="1"/>
        <rFont val="Trebuchet MS"/>
        <family val="2"/>
      </rPr>
      <t xml:space="preserve"> </t>
    </r>
    <r>
      <rPr>
        <sz val="11"/>
        <color theme="1"/>
        <rFont val="Trebuchet MS"/>
        <family val="2"/>
      </rPr>
      <t>– Actual Cost = £3,500 A</t>
    </r>
  </si>
  <si>
    <t>Actual Labour Cost =</t>
  </si>
  <si>
    <t xml:space="preserve">2B. (c) </t>
  </si>
  <si>
    <t>Using Labour Efficiency Variance:</t>
  </si>
  <si>
    <t>Difference in Hours × Standard Rate = Variance</t>
  </si>
  <si>
    <t>Difference in Hours = 12,000 F / £12 =</t>
  </si>
  <si>
    <t>As it is a favourable variance, Actual Hours are lower than Standard Hours</t>
  </si>
  <si>
    <t xml:space="preserve">32,000 – 1,000 = </t>
  </si>
  <si>
    <t>2B. (d)</t>
  </si>
  <si>
    <r>
      <t xml:space="preserve">Actual Labour Rate = </t>
    </r>
    <r>
      <rPr>
        <u/>
        <sz val="11"/>
        <color theme="1"/>
        <rFont val="Trebuchet MS"/>
        <family val="2"/>
      </rPr>
      <t>Actual Labour Cost</t>
    </r>
  </si>
  <si>
    <t xml:space="preserve">                             Actual Labour Hours</t>
  </si>
  <si>
    <t>31,000 hours =</t>
  </si>
  <si>
    <t xml:space="preserve">2B. (e) </t>
  </si>
  <si>
    <t>Using VOH Expenditure Variance</t>
  </si>
  <si>
    <t>(Actual Labour Hours × VOH Rate) − Actual VOH Cost = Variance</t>
  </si>
  <si>
    <t>31,000  x  £8  − Actual VOH Cost = £7,750 F</t>
  </si>
  <si>
    <t>Therefore:</t>
  </si>
  <si>
    <r>
      <t xml:space="preserve">248,000 </t>
    </r>
    <r>
      <rPr>
        <b/>
        <sz val="11"/>
        <color rgb="FFFF0000"/>
        <rFont val="Trebuchet MS"/>
        <family val="2"/>
      </rPr>
      <t>1</t>
    </r>
    <r>
      <rPr>
        <b/>
        <sz val="11"/>
        <color theme="1"/>
        <rFont val="Trebuchet MS"/>
        <family val="2"/>
      </rPr>
      <t xml:space="preserve"> </t>
    </r>
    <r>
      <rPr>
        <sz val="11"/>
        <color theme="1"/>
        <rFont val="Trebuchet MS"/>
        <family val="2"/>
      </rPr>
      <t>- Act VOH Cost = £7,750 F</t>
    </r>
  </si>
  <si>
    <t xml:space="preserve">Act VOH Cost = £240,250 </t>
  </si>
  <si>
    <t xml:space="preserve">3. (a) </t>
  </si>
  <si>
    <t xml:space="preserve">Thomson plc </t>
  </si>
  <si>
    <t>Contract Account for year ended 31 December Year 1</t>
  </si>
  <si>
    <t>Work certified</t>
  </si>
  <si>
    <t>Work not certified</t>
  </si>
  <si>
    <t>Materials on site 1 January</t>
  </si>
  <si>
    <t>1 mark for materials on site 1 January and Materials sent to site</t>
  </si>
  <si>
    <t>Materials sent to site</t>
  </si>
  <si>
    <t>Materials on site at 31 December</t>
  </si>
  <si>
    <t>Materials from stores</t>
  </si>
  <si>
    <t>Materials returned to stores</t>
  </si>
  <si>
    <t>Sub-contracted direct material cost</t>
  </si>
  <si>
    <t>Labour on site</t>
  </si>
  <si>
    <t>Direct Wages owing</t>
  </si>
  <si>
    <t>Direct expenses</t>
  </si>
  <si>
    <t>Less paid in advance</t>
  </si>
  <si>
    <t>PRIME COST</t>
  </si>
  <si>
    <t>1*</t>
  </si>
  <si>
    <t>* Award mark only if correctly labelled</t>
  </si>
  <si>
    <t>Plant on site 1 Jan Year 1</t>
  </si>
  <si>
    <t>Less scrapped</t>
  </si>
  <si>
    <t>Plant at 31 December</t>
  </si>
  <si>
    <t>1 mark for Plant at 31 December and Depreciation on plant</t>
  </si>
  <si>
    <t>Depreciation on plant</t>
  </si>
  <si>
    <t>Loss on sale of plant (5-2)</t>
  </si>
  <si>
    <t>Hire of special equipment</t>
  </si>
  <si>
    <t>Establishment charges</t>
  </si>
  <si>
    <t>Architects fees (1,400 x 3%)</t>
  </si>
  <si>
    <t>Insurance</t>
  </si>
  <si>
    <t>Maintenance of plant</t>
  </si>
  <si>
    <t>Overheads (180 x 5%)</t>
  </si>
  <si>
    <t>2*</t>
  </si>
  <si>
    <t>All or nothing</t>
  </si>
  <si>
    <t>* watch for consequentiality</t>
  </si>
  <si>
    <t>Indirect wages</t>
  </si>
  <si>
    <t>NOTIONAL PROFIT</t>
  </si>
  <si>
    <r>
      <t xml:space="preserve">Transfer to Inc Statement 
(167 </t>
    </r>
    <r>
      <rPr>
        <sz val="11"/>
        <color rgb="FFFF0000"/>
        <rFont val="Trebuchet MS"/>
        <family val="2"/>
      </rPr>
      <t>(1)</t>
    </r>
    <r>
      <rPr>
        <sz val="11"/>
        <color theme="1"/>
        <rFont val="Trebuchet MS"/>
        <family val="2"/>
      </rPr>
      <t xml:space="preserve"> x 1,400/2,000 </t>
    </r>
    <r>
      <rPr>
        <sz val="11"/>
        <color rgb="FFFF0000"/>
        <rFont val="Trebuchet MS"/>
        <family val="2"/>
      </rPr>
      <t>(1)</t>
    </r>
    <r>
      <rPr>
        <sz val="11"/>
        <color theme="1"/>
        <rFont val="Trebuchet MS"/>
        <family val="2"/>
      </rPr>
      <t>)</t>
    </r>
  </si>
  <si>
    <t>Profit retained C/F (167 – 116.9)</t>
  </si>
  <si>
    <r>
      <t xml:space="preserve">L/A/E </t>
    </r>
    <r>
      <rPr>
        <sz val="11"/>
        <color rgb="FFFF0000"/>
        <rFont val="Trebuchet MS"/>
        <family val="2"/>
      </rPr>
      <t>(1)</t>
    </r>
  </si>
  <si>
    <t xml:space="preserve">3. (b) </t>
  </si>
  <si>
    <t>Describe what is meant by the term 'establishment charges'.</t>
  </si>
  <si>
    <r>
      <t xml:space="preserve">Establishment charges cover preparing a contract site for the work to begin. </t>
    </r>
    <r>
      <rPr>
        <b/>
        <sz val="11"/>
        <color rgb="FFFF0000"/>
        <rFont val="Trebuchet MS"/>
        <family val="2"/>
      </rPr>
      <t>1</t>
    </r>
  </si>
  <si>
    <r>
      <t xml:space="preserve">This may include acquiring access rights, building roads, installing power, water, drainage and communications, drainage and erecting site buildings. </t>
    </r>
    <r>
      <rPr>
        <b/>
        <sz val="11"/>
        <color rgb="FFFF0000"/>
        <rFont val="Trebuchet MS"/>
        <family val="2"/>
      </rPr>
      <t>1</t>
    </r>
  </si>
  <si>
    <t>Accept any other reasonable answer.</t>
  </si>
  <si>
    <t>4. (a) (i)</t>
  </si>
  <si>
    <t>Goodwill calculation</t>
  </si>
  <si>
    <t xml:space="preserve">Percentage purchased </t>
  </si>
  <si>
    <t>x</t>
  </si>
  <si>
    <t>=</t>
  </si>
  <si>
    <t>Amount paid</t>
  </si>
  <si>
    <t>Value Taken Over</t>
  </si>
  <si>
    <t>+</t>
  </si>
  <si>
    <t>-</t>
  </si>
  <si>
    <t>4. (a) (ii)</t>
  </si>
  <si>
    <t>Non-controlling interest</t>
  </si>
  <si>
    <t>4. (b) (i)</t>
  </si>
  <si>
    <t>Post-acquisition profits</t>
  </si>
  <si>
    <t>Balance @ Consol SFP date</t>
  </si>
  <si>
    <t xml:space="preserve">Value @ acquisition </t>
  </si>
  <si>
    <t xml:space="preserve">Profits </t>
  </si>
  <si>
    <t xml:space="preserve">Percentage owned </t>
  </si>
  <si>
    <t>4. (b) (ii)</t>
  </si>
  <si>
    <t>Unrealised profits</t>
  </si>
  <si>
    <t>Cost of Sales</t>
  </si>
  <si>
    <t xml:space="preserve">Mark-up </t>
  </si>
  <si>
    <t>Selling price to Subsidiary</t>
  </si>
  <si>
    <t>Goods unsold</t>
  </si>
  <si>
    <t>4. (b) (iii)</t>
  </si>
  <si>
    <t>Non-controlling interest @ Consol SFP Date</t>
  </si>
  <si>
    <t>Value @ Consol SFP Date</t>
  </si>
  <si>
    <t>4. (b) (iv)</t>
  </si>
  <si>
    <t>Cash in Transit</t>
  </si>
  <si>
    <t>Owed to Parent</t>
  </si>
  <si>
    <t>Owed by Subsidiary</t>
  </si>
  <si>
    <t>4. (b) (v)</t>
  </si>
  <si>
    <t>Holding Co Retained earnings</t>
  </si>
  <si>
    <t>Goodwill written off</t>
  </si>
  <si>
    <t>4. (c)</t>
  </si>
  <si>
    <t>Consolidated Statement of Financial Position as at 31 December Year 4</t>
  </si>
  <si>
    <t>Non-current Assets</t>
  </si>
  <si>
    <t>Tangible (327,000+58,000)</t>
  </si>
  <si>
    <t>Goodwill (24,050 - 2,405)</t>
  </si>
  <si>
    <t>Current Assets</t>
  </si>
  <si>
    <t>Inventory (22,400+9,700-630)</t>
  </si>
  <si>
    <t>Trade Receivables (6,200+3,800)</t>
  </si>
  <si>
    <t>Cash and Cash Equivalents (7,660+800-640)</t>
  </si>
  <si>
    <t xml:space="preserve">Total Assets </t>
  </si>
  <si>
    <t>Current Liabilities</t>
  </si>
  <si>
    <t>Trade Payables (5,200+5,560)</t>
  </si>
  <si>
    <t>Other Payables (960+420)</t>
  </si>
  <si>
    <t>Non-current Liabilities</t>
  </si>
  <si>
    <t>15% Debentures (50,000+12,000)</t>
  </si>
  <si>
    <t>Total Liabilities</t>
  </si>
  <si>
    <t>Net Assets</t>
  </si>
  <si>
    <t>Equity</t>
  </si>
  <si>
    <t>Ordinary Shares of £1 each</t>
  </si>
  <si>
    <t xml:space="preserve">Share Premium </t>
  </si>
  <si>
    <t>Labels/no extraneous/arithmetic correct (L/E/A)</t>
  </si>
  <si>
    <t xml:space="preserve">4. (d) </t>
  </si>
  <si>
    <t>Describe the purpose of a Statement of Cash Flow.</t>
  </si>
  <si>
    <t>To show the actual movements of cash into and out of the business over the accounting period.</t>
  </si>
  <si>
    <t>Any 2 for 2 marks.</t>
  </si>
  <si>
    <t>To supplement the Income Statement and Statement of Financial Position, as they do not provide sufficient information on movement of cash over the accounting period.</t>
  </si>
  <si>
    <t>To show the increase or decrease in cash and cash equivalents.</t>
  </si>
  <si>
    <t xml:space="preserve">Information on liquidity of the business. </t>
  </si>
  <si>
    <t>Conforms with IAS1 and IAS7.</t>
  </si>
  <si>
    <t xml:space="preserve">Assists stakeholders who make decisions, as it shows how cash is generated and absorbed. </t>
  </si>
  <si>
    <r>
      <t xml:space="preserve">General Expenses (1,000/5*4) </t>
    </r>
    <r>
      <rPr>
        <b/>
        <sz val="11"/>
        <color rgb="FFFF0000"/>
        <rFont val="Trebuchet MS"/>
        <family val="2"/>
      </rPr>
      <t>1</t>
    </r>
  </si>
  <si>
    <r>
      <t xml:space="preserve">Wages &amp; Salaries (2,530 + 210) </t>
    </r>
    <r>
      <rPr>
        <b/>
        <sz val="11"/>
        <color rgb="FFFF0000"/>
        <rFont val="Trebuchet MS"/>
        <family val="2"/>
      </rPr>
      <t>1</t>
    </r>
  </si>
  <si>
    <t>COST OF SALES</t>
  </si>
  <si>
    <t>Inventories are consequential on answer to part (a).</t>
  </si>
  <si>
    <t>Total Labour Cost Var = (Labour Efficiency Var – Labour Rate Var)</t>
  </si>
  <si>
    <t xml:space="preserve">An example can be awarded a development mark. </t>
  </si>
  <si>
    <t xml:space="preserve">** Where total variable overhead line is missing, or contains opening inventory figure, award mark for correct insertion of relevant individual data. </t>
  </si>
  <si>
    <t>*** Lines must be labelled for marks to be awarded.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</si>
</sst>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8" formatCode="&quot;£&quot;#,##0.00;[Red]\-&quot;£&quot;#,##0.00"/>
    <numFmt numFmtId="43" formatCode="_-* #,##0.00_-;\-* #,##0.00_-;_-* &quot;-&quot;??_-;_-@_-"/>
    <numFmt numFmtId="164" formatCode="_-* #,##0_-;\-* #,##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b/>
      <sz val="11"/>
      <color rgb="FFFF0000"/>
      <name val="Trebuchet MS"/>
      <family val="2"/>
    </font>
    <font>
      <sz val="11"/>
      <color rgb="FFFF0000"/>
      <name val="Trebuchet MS"/>
      <family val="2"/>
    </font>
    <font>
      <sz val="11"/>
      <name val="Trebuchet MS"/>
      <family val="2"/>
    </font>
    <font>
      <sz val="11"/>
      <color rgb="FF000000"/>
      <name val="Trebuchet MS"/>
      <family val="2"/>
    </font>
    <font>
      <b/>
      <sz val="11"/>
      <color rgb="FF000000"/>
      <name val="Trebuchet MS"/>
      <family val="2"/>
    </font>
    <font>
      <b/>
      <sz val="12"/>
      <color rgb="FFFF0000"/>
      <name val="Trebuchet MS"/>
      <family val="2"/>
    </font>
    <font>
      <sz val="12"/>
      <color rgb="FF000000"/>
      <name val="Trebuchet MS"/>
      <family val="2"/>
    </font>
    <font>
      <u/>
      <sz val="11"/>
      <color theme="1"/>
      <name val="Trebuchet MS"/>
      <family val="2"/>
    </font>
    <font>
      <sz val="11"/>
      <color theme="1"/>
      <name val="Symbol"/>
      <family val="1"/>
      <charset val="2"/>
    </font>
    <font>
      <b/>
      <sz val="12"/>
      <color rgb="FF000000"/>
      <name val="Trebuchet MS"/>
      <family val="2"/>
    </font>
    <font>
      <b/>
      <sz val="11"/>
      <name val="Trebuchet MS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3" fillId="0" borderId="0" xfId="0" applyFont="1"/>
    <xf numFmtId="9" fontId="3" fillId="0" borderId="0" xfId="0" applyNumberFormat="1" applyFont="1"/>
    <xf numFmtId="164" fontId="3" fillId="0" borderId="0" xfId="1" applyNumberFormat="1" applyFont="1"/>
    <xf numFmtId="43" fontId="3" fillId="0" borderId="0" xfId="1" applyFont="1"/>
    <xf numFmtId="6" fontId="3" fillId="0" borderId="0" xfId="0" applyNumberFormat="1" applyFont="1"/>
    <xf numFmtId="164" fontId="3" fillId="0" borderId="0" xfId="0" applyNumberFormat="1" applyFont="1"/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6" fillId="0" borderId="0" xfId="0" applyFont="1"/>
    <xf numFmtId="2" fontId="3" fillId="0" borderId="2" xfId="0" applyNumberFormat="1" applyFont="1" applyBorder="1" applyAlignment="1">
      <alignment horizontal="right" vertical="center" wrapText="1"/>
    </xf>
    <xf numFmtId="2" fontId="3" fillId="0" borderId="1" xfId="0" applyNumberFormat="1" applyFont="1" applyBorder="1" applyAlignment="1">
      <alignment horizontal="right" vertical="center" wrapText="1"/>
    </xf>
    <xf numFmtId="2" fontId="3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left" vertical="center" indent="2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3" fontId="7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3" fontId="7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vertical="center" wrapText="1"/>
    </xf>
    <xf numFmtId="3" fontId="7" fillId="0" borderId="0" xfId="0" applyNumberFormat="1" applyFont="1" applyAlignment="1">
      <alignment horizontal="center" vertical="center" wrapText="1"/>
    </xf>
    <xf numFmtId="6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3" fontId="7" fillId="0" borderId="2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 wrapText="1"/>
    </xf>
    <xf numFmtId="3" fontId="10" fillId="0" borderId="2" xfId="0" applyNumberFormat="1" applyFont="1" applyBorder="1" applyAlignment="1">
      <alignment horizontal="right" vertical="center" wrapText="1"/>
    </xf>
    <xf numFmtId="0" fontId="10" fillId="0" borderId="0" xfId="0" applyFont="1" applyAlignment="1">
      <alignment horizontal="right" vertical="center" wrapText="1"/>
    </xf>
    <xf numFmtId="3" fontId="10" fillId="0" borderId="0" xfId="0" applyNumberFormat="1" applyFont="1" applyAlignment="1">
      <alignment horizontal="right" vertical="center" wrapText="1"/>
    </xf>
    <xf numFmtId="0" fontId="10" fillId="0" borderId="0" xfId="0" applyFont="1" applyAlignment="1">
      <alignment horizontal="left" vertical="center" wrapText="1"/>
    </xf>
    <xf numFmtId="3" fontId="10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>
      <alignment vertical="top" wrapText="1"/>
    </xf>
    <xf numFmtId="49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8" fontId="3" fillId="0" borderId="0" xfId="0" applyNumberFormat="1" applyFont="1"/>
    <xf numFmtId="6" fontId="11" fillId="0" borderId="0" xfId="0" applyNumberFormat="1" applyFont="1" applyAlignment="1">
      <alignment horizontal="left" vertical="center"/>
    </xf>
    <xf numFmtId="3" fontId="3" fillId="0" borderId="0" xfId="0" applyNumberFormat="1" applyFont="1"/>
    <xf numFmtId="3" fontId="3" fillId="0" borderId="0" xfId="1" applyNumberFormat="1" applyFont="1"/>
    <xf numFmtId="0" fontId="2" fillId="0" borderId="6" xfId="0" applyFont="1" applyBorder="1" applyAlignment="1">
      <alignment vertical="center" wrapText="1"/>
    </xf>
    <xf numFmtId="0" fontId="5" fillId="0" borderId="0" xfId="0" applyFont="1"/>
    <xf numFmtId="0" fontId="3" fillId="0" borderId="0" xfId="0" applyFont="1" applyAlignment="1">
      <alignment horizontal="left" wrapText="1"/>
    </xf>
    <xf numFmtId="0" fontId="5" fillId="0" borderId="0" xfId="1" applyNumberFormat="1" applyFont="1" applyBorder="1"/>
    <xf numFmtId="0" fontId="3" fillId="0" borderId="0" xfId="0" applyFont="1" applyAlignment="1">
      <alignment vertical="center"/>
    </xf>
    <xf numFmtId="164" fontId="3" fillId="0" borderId="2" xfId="0" applyNumberFormat="1" applyFont="1" applyBorder="1" applyAlignment="1">
      <alignment horizontal="right" vertical="center" wrapText="1"/>
    </xf>
    <xf numFmtId="0" fontId="4" fillId="0" borderId="0" xfId="1" applyNumberFormat="1" applyFont="1" applyBorder="1"/>
    <xf numFmtId="0" fontId="3" fillId="0" borderId="0" xfId="0" applyFont="1" applyAlignment="1">
      <alignment vertical="center" wrapText="1"/>
    </xf>
    <xf numFmtId="164" fontId="3" fillId="0" borderId="1" xfId="1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/>
    </xf>
    <xf numFmtId="0" fontId="4" fillId="0" borderId="0" xfId="1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 applyAlignment="1">
      <alignment vertical="center" wrapText="1"/>
    </xf>
    <xf numFmtId="164" fontId="3" fillId="0" borderId="0" xfId="1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vertical="center"/>
    </xf>
    <xf numFmtId="49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9" xfId="0" applyBorder="1" applyAlignment="1">
      <alignment vertical="center"/>
    </xf>
    <xf numFmtId="0" fontId="0" fillId="0" borderId="0" xfId="0" applyAlignment="1">
      <alignment wrapText="1"/>
    </xf>
    <xf numFmtId="43" fontId="3" fillId="0" borderId="0" xfId="1" applyFont="1" applyBorder="1"/>
    <xf numFmtId="43" fontId="3" fillId="0" borderId="2" xfId="1" applyFont="1" applyBorder="1"/>
    <xf numFmtId="43" fontId="3" fillId="0" borderId="0" xfId="0" applyNumberFormat="1" applyFont="1"/>
    <xf numFmtId="43" fontId="3" fillId="0" borderId="1" xfId="1" applyFont="1" applyBorder="1"/>
    <xf numFmtId="0" fontId="7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2" xfId="0" applyBorder="1"/>
    <xf numFmtId="0" fontId="0" fillId="0" borderId="1" xfId="0" applyBorder="1"/>
    <xf numFmtId="49" fontId="0" fillId="0" borderId="0" xfId="0" applyNumberFormat="1"/>
    <xf numFmtId="164" fontId="5" fillId="0" borderId="0" xfId="1" applyNumberFormat="1" applyFont="1"/>
    <xf numFmtId="49" fontId="2" fillId="0" borderId="0" xfId="0" applyNumberFormat="1" applyFont="1" applyAlignment="1">
      <alignment horizontal="right"/>
    </xf>
    <xf numFmtId="164" fontId="3" fillId="0" borderId="1" xfId="1" applyNumberFormat="1" applyFont="1" applyBorder="1"/>
    <xf numFmtId="164" fontId="3" fillId="0" borderId="2" xfId="1" applyNumberFormat="1" applyFont="1" applyBorder="1"/>
    <xf numFmtId="164" fontId="3" fillId="0" borderId="0" xfId="1" applyNumberFormat="1" applyFont="1" applyAlignment="1">
      <alignment horizontal="right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8" fillId="0" borderId="0" xfId="0" applyFont="1"/>
    <xf numFmtId="0" fontId="7" fillId="0" borderId="0" xfId="0" applyFont="1"/>
    <xf numFmtId="4" fontId="7" fillId="0" borderId="0" xfId="0" applyNumberFormat="1" applyFont="1"/>
    <xf numFmtId="4" fontId="7" fillId="0" borderId="1" xfId="0" applyNumberFormat="1" applyFont="1" applyBorder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wrapText="1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4" fillId="0" borderId="0" xfId="1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164" fontId="6" fillId="0" borderId="0" xfId="1" applyNumberFormat="1" applyFont="1"/>
    <xf numFmtId="2" fontId="2" fillId="0" borderId="0" xfId="0" applyNumberFormat="1" applyFont="1" applyAlignment="1">
      <alignment horizontal="right" vertical="center" wrapText="1"/>
    </xf>
    <xf numFmtId="2" fontId="2" fillId="0" borderId="1" xfId="0" applyNumberFormat="1" applyFont="1" applyBorder="1" applyAlignment="1">
      <alignment horizontal="righ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19051</xdr:colOff>
      <xdr:row>35</xdr:row>
      <xdr:rowOff>114301</xdr:rowOff>
    </xdr:from>
    <xdr:to>
      <xdr:col>7</xdr:col>
      <xdr:colOff>133351</xdr:colOff>
      <xdr:row>37</xdr:row>
      <xdr:rowOff>133351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7EBADD3B-923B-4821-8C4C-9E689308DDCB}"/>
            </a:ext>
          </a:extLst>
        </xdr:cNvPr>
        <xdr:cNvSpPr/>
      </xdr:nvSpPr>
      <xdr:spPr>
        <a:xfrm>
          <a:off x="4086226" y="6781801"/>
          <a:ext cx="114300" cy="400050"/>
        </a:xfrm>
        <a:prstGeom prst="rightBrac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9DBE1-8E50-4172-AAFF-8366019A7C48}">
  <sheetPr>
    <pageSetUpPr fitToPage="1"/>
  </sheetPr>
  <dimension ref="A1:C28"/>
  <sheetViews>
    <sheetView zoomScaleNormal="100" workbookViewId="0">
      <selection activeCell="A3" sqref="A3"/>
    </sheetView>
  </sheetViews>
  <sheetFormatPr defaultRowHeight="14.5" x14ac:dyDescent="0.35"/>
  <cols>
    <col min="1" max="1" width="49.1796875" customWidth="1"/>
  </cols>
  <sheetData>
    <row r="1" spans="1:3" x14ac:dyDescent="0.35">
      <c r="B1" s="86" t="s">
        <v>0</v>
      </c>
      <c r="C1" s="86" t="s">
        <v>0</v>
      </c>
    </row>
    <row r="2" spans="1:3" x14ac:dyDescent="0.35">
      <c r="A2" t="s">
        <v>1</v>
      </c>
      <c r="C2">
        <v>5000</v>
      </c>
    </row>
    <row r="3" spans="1:3" x14ac:dyDescent="0.35">
      <c r="A3" t="s">
        <v>2</v>
      </c>
      <c r="C3">
        <v>2000</v>
      </c>
    </row>
    <row r="4" spans="1:3" x14ac:dyDescent="0.35">
      <c r="A4" t="s">
        <v>3</v>
      </c>
      <c r="C4">
        <v>11200</v>
      </c>
    </row>
    <row r="5" spans="1:3" x14ac:dyDescent="0.35">
      <c r="A5" t="s">
        <v>4</v>
      </c>
      <c r="B5">
        <v>4100</v>
      </c>
    </row>
    <row r="6" spans="1:3" x14ac:dyDescent="0.35">
      <c r="A6" t="s">
        <v>5</v>
      </c>
      <c r="B6">
        <v>750</v>
      </c>
    </row>
    <row r="7" spans="1:3" x14ac:dyDescent="0.35">
      <c r="A7" t="s">
        <v>6</v>
      </c>
      <c r="B7">
        <v>150</v>
      </c>
    </row>
    <row r="8" spans="1:3" x14ac:dyDescent="0.35">
      <c r="A8" t="s">
        <v>7</v>
      </c>
      <c r="C8">
        <v>12</v>
      </c>
    </row>
    <row r="9" spans="1:3" x14ac:dyDescent="0.35">
      <c r="A9" t="s">
        <v>8</v>
      </c>
      <c r="B9">
        <v>510</v>
      </c>
    </row>
    <row r="10" spans="1:3" x14ac:dyDescent="0.35">
      <c r="A10" t="s">
        <v>9</v>
      </c>
      <c r="B10">
        <v>2530</v>
      </c>
    </row>
    <row r="11" spans="1:3" x14ac:dyDescent="0.35">
      <c r="A11" t="s">
        <v>10</v>
      </c>
      <c r="B11">
        <v>1000</v>
      </c>
    </row>
    <row r="12" spans="1:3" x14ac:dyDescent="0.35">
      <c r="A12" t="s">
        <v>11</v>
      </c>
      <c r="B12">
        <v>425</v>
      </c>
    </row>
    <row r="13" spans="1:3" x14ac:dyDescent="0.35">
      <c r="A13" t="s">
        <v>12</v>
      </c>
      <c r="B13">
        <v>300</v>
      </c>
    </row>
    <row r="14" spans="1:3" x14ac:dyDescent="0.35">
      <c r="A14" t="s">
        <v>13</v>
      </c>
      <c r="B14">
        <v>8000</v>
      </c>
    </row>
    <row r="15" spans="1:3" x14ac:dyDescent="0.35">
      <c r="A15" t="s">
        <v>14</v>
      </c>
      <c r="B15">
        <v>2300</v>
      </c>
    </row>
    <row r="16" spans="1:3" x14ac:dyDescent="0.35">
      <c r="A16" t="s">
        <v>15</v>
      </c>
      <c r="C16">
        <v>420</v>
      </c>
    </row>
    <row r="17" spans="1:3" x14ac:dyDescent="0.35">
      <c r="A17" t="s">
        <v>16</v>
      </c>
      <c r="B17">
        <v>900</v>
      </c>
    </row>
    <row r="18" spans="1:3" x14ac:dyDescent="0.35">
      <c r="A18" t="s">
        <v>17</v>
      </c>
      <c r="C18">
        <v>670</v>
      </c>
    </row>
    <row r="19" spans="1:3" x14ac:dyDescent="0.35">
      <c r="A19" t="s">
        <v>18</v>
      </c>
      <c r="B19">
        <v>1250</v>
      </c>
    </row>
    <row r="20" spans="1:3" x14ac:dyDescent="0.35">
      <c r="A20" t="s">
        <v>19</v>
      </c>
      <c r="C20">
        <v>600</v>
      </c>
    </row>
    <row r="21" spans="1:3" x14ac:dyDescent="0.35">
      <c r="A21" t="s">
        <v>20</v>
      </c>
      <c r="C21">
        <v>78</v>
      </c>
    </row>
    <row r="22" spans="1:3" x14ac:dyDescent="0.35">
      <c r="A22" t="s">
        <v>21</v>
      </c>
      <c r="B22">
        <v>300</v>
      </c>
    </row>
    <row r="23" spans="1:3" x14ac:dyDescent="0.35">
      <c r="A23" t="s">
        <v>22</v>
      </c>
      <c r="B23">
        <v>480</v>
      </c>
    </row>
    <row r="24" spans="1:3" x14ac:dyDescent="0.35">
      <c r="A24" t="s">
        <v>23</v>
      </c>
      <c r="B24">
        <v>895</v>
      </c>
    </row>
    <row r="25" spans="1:3" x14ac:dyDescent="0.35">
      <c r="A25" t="s">
        <v>24</v>
      </c>
      <c r="C25">
        <v>10</v>
      </c>
    </row>
    <row r="26" spans="1:3" x14ac:dyDescent="0.35">
      <c r="A26" t="s">
        <v>25</v>
      </c>
      <c r="C26">
        <v>840</v>
      </c>
    </row>
    <row r="27" spans="1:3" x14ac:dyDescent="0.35">
      <c r="A27" t="s">
        <v>26</v>
      </c>
      <c r="B27" s="85"/>
      <c r="C27" s="85">
        <v>3060</v>
      </c>
    </row>
    <row r="28" spans="1:3" x14ac:dyDescent="0.35">
      <c r="B28" s="84">
        <f>SUM(B2:B27)</f>
        <v>23890</v>
      </c>
      <c r="C28" s="84">
        <f>SUM(C2:C27)</f>
        <v>23890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85448-44C4-4436-AA49-7235AB580C7D}">
  <sheetPr>
    <pageSetUpPr fitToPage="1"/>
  </sheetPr>
  <dimension ref="A1:G19"/>
  <sheetViews>
    <sheetView zoomScaleNormal="100" workbookViewId="0"/>
  </sheetViews>
  <sheetFormatPr defaultColWidth="8.7265625" defaultRowHeight="14.5" x14ac:dyDescent="0.35"/>
  <cols>
    <col min="1" max="1" width="10.1796875" style="1" customWidth="1"/>
    <col min="2" max="2" width="27.7265625" style="1" customWidth="1"/>
    <col min="3" max="3" width="8.1796875" style="1" bestFit="1" customWidth="1"/>
    <col min="4" max="4" width="9.26953125" style="1" bestFit="1" customWidth="1"/>
    <col min="5" max="5" width="8.81640625" style="1" bestFit="1" customWidth="1"/>
    <col min="6" max="6" width="5.81640625" style="1" customWidth="1"/>
    <col min="7" max="7" width="77.453125" style="1" customWidth="1"/>
    <col min="8" max="16384" width="8.7265625" style="1"/>
  </cols>
  <sheetData>
    <row r="1" spans="1:7" ht="29.5" thickBot="1" x14ac:dyDescent="0.4">
      <c r="A1" s="48" t="s">
        <v>27</v>
      </c>
      <c r="B1" s="99" t="s">
        <v>28</v>
      </c>
      <c r="C1" s="100"/>
      <c r="D1" s="100"/>
      <c r="E1" s="101"/>
      <c r="F1" s="47" t="s">
        <v>29</v>
      </c>
      <c r="G1" s="46" t="s">
        <v>30</v>
      </c>
    </row>
    <row r="2" spans="1:7" x14ac:dyDescent="0.35">
      <c r="A2" s="1" t="s">
        <v>31</v>
      </c>
      <c r="B2" s="7" t="s">
        <v>32</v>
      </c>
      <c r="F2" s="93">
        <v>19</v>
      </c>
    </row>
    <row r="3" spans="1:7" x14ac:dyDescent="0.35">
      <c r="B3" s="7" t="s">
        <v>33</v>
      </c>
    </row>
    <row r="4" spans="1:7" x14ac:dyDescent="0.35">
      <c r="C4" s="88" t="s">
        <v>0</v>
      </c>
      <c r="D4" s="88" t="s">
        <v>0</v>
      </c>
      <c r="E4" s="50"/>
    </row>
    <row r="5" spans="1:7" x14ac:dyDescent="0.35">
      <c r="B5" s="1" t="s">
        <v>34</v>
      </c>
      <c r="C5" s="3"/>
      <c r="D5" s="3">
        <v>11200</v>
      </c>
      <c r="E5" s="50">
        <v>1</v>
      </c>
    </row>
    <row r="6" spans="1:7" x14ac:dyDescent="0.35">
      <c r="B6" s="1" t="s">
        <v>35</v>
      </c>
      <c r="C6" s="3"/>
      <c r="D6" s="89">
        <f>'Q1 (a) Notes'!C17</f>
        <v>4684</v>
      </c>
      <c r="E6" s="50" t="s">
        <v>36</v>
      </c>
    </row>
    <row r="7" spans="1:7" x14ac:dyDescent="0.35">
      <c r="B7" s="7" t="s">
        <v>37</v>
      </c>
      <c r="C7" s="3"/>
      <c r="D7" s="3">
        <f>D5-D6</f>
        <v>6516</v>
      </c>
      <c r="E7" s="50"/>
    </row>
    <row r="8" spans="1:7" x14ac:dyDescent="0.35">
      <c r="B8" s="1" t="s">
        <v>38</v>
      </c>
      <c r="C8" s="3">
        <f>'Q1 (a) Notes'!D17</f>
        <v>2130</v>
      </c>
      <c r="D8" s="3"/>
      <c r="E8" s="50" t="s">
        <v>36</v>
      </c>
    </row>
    <row r="9" spans="1:7" x14ac:dyDescent="0.35">
      <c r="B9" s="1" t="s">
        <v>39</v>
      </c>
      <c r="C9" s="89">
        <f>'Q1 (a) Notes'!E17</f>
        <v>3119</v>
      </c>
      <c r="D9" s="89">
        <f>C8+C9</f>
        <v>5249</v>
      </c>
      <c r="E9" s="50" t="s">
        <v>40</v>
      </c>
    </row>
    <row r="10" spans="1:7" x14ac:dyDescent="0.35">
      <c r="B10" s="7" t="s">
        <v>41</v>
      </c>
      <c r="C10" s="3"/>
      <c r="D10" s="3">
        <f>D7-D9</f>
        <v>1267</v>
      </c>
      <c r="E10" s="50"/>
    </row>
    <row r="11" spans="1:7" x14ac:dyDescent="0.35">
      <c r="B11" s="1" t="s">
        <v>42</v>
      </c>
      <c r="C11" s="3"/>
      <c r="D11" s="3">
        <f>78+20</f>
        <v>98</v>
      </c>
      <c r="E11" s="50">
        <v>2</v>
      </c>
      <c r="G11" s="1" t="s">
        <v>43</v>
      </c>
    </row>
    <row r="12" spans="1:7" x14ac:dyDescent="0.35">
      <c r="B12" s="1" t="s">
        <v>44</v>
      </c>
      <c r="C12" s="3"/>
      <c r="D12" s="89">
        <v>-100</v>
      </c>
      <c r="E12" s="50">
        <v>1</v>
      </c>
    </row>
    <row r="13" spans="1:7" x14ac:dyDescent="0.35">
      <c r="B13" s="7" t="s">
        <v>45</v>
      </c>
      <c r="C13" s="3"/>
      <c r="D13" s="3">
        <f>SUM(D10:D12)</f>
        <v>1265</v>
      </c>
      <c r="E13" s="50"/>
    </row>
    <row r="14" spans="1:7" x14ac:dyDescent="0.35">
      <c r="B14" s="1" t="s">
        <v>46</v>
      </c>
      <c r="C14" s="3"/>
      <c r="D14" s="89">
        <f>12-240</f>
        <v>-228</v>
      </c>
      <c r="E14" s="50">
        <v>2</v>
      </c>
      <c r="G14" s="1" t="s">
        <v>47</v>
      </c>
    </row>
    <row r="15" spans="1:7" x14ac:dyDescent="0.35">
      <c r="B15" s="7" t="s">
        <v>48</v>
      </c>
      <c r="C15" s="3"/>
      <c r="D15" s="3">
        <f>D13+D14</f>
        <v>1037</v>
      </c>
      <c r="E15" s="50"/>
      <c r="G15" s="1" t="s">
        <v>49</v>
      </c>
    </row>
    <row r="16" spans="1:7" x14ac:dyDescent="0.35">
      <c r="B16" s="1" t="s">
        <v>50</v>
      </c>
      <c r="C16" s="3"/>
      <c r="D16" s="89">
        <v>702</v>
      </c>
      <c r="E16" s="50">
        <v>1</v>
      </c>
    </row>
    <row r="17" spans="2:7" x14ac:dyDescent="0.35">
      <c r="B17" s="7" t="s">
        <v>51</v>
      </c>
      <c r="C17" s="3"/>
      <c r="D17" s="90">
        <f>D15-D16</f>
        <v>335</v>
      </c>
      <c r="E17" s="50"/>
      <c r="G17" s="1" t="s">
        <v>52</v>
      </c>
    </row>
    <row r="18" spans="2:7" x14ac:dyDescent="0.35">
      <c r="E18" s="65"/>
    </row>
    <row r="19" spans="2:7" x14ac:dyDescent="0.35">
      <c r="B19" s="75" t="s">
        <v>53</v>
      </c>
      <c r="E19" s="50"/>
      <c r="F19" s="50"/>
    </row>
  </sheetData>
  <mergeCells count="1">
    <mergeCell ref="B1:E1"/>
  </mergeCells>
  <printOptions gridLines="1"/>
  <pageMargins left="0.70866141732283472" right="0.70866141732283472" top="0.74803149606299213" bottom="0.74803149606299213" header="0.31496062992125984" footer="0.31496062992125984"/>
  <pageSetup paperSize="9" scale="88" fitToHeight="0" orientation="landscape" r:id="rId1"/>
  <ignoredErrors>
    <ignoredError sqref="C4:D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6A8E9-729C-4932-96C9-6ECDD51C0F28}">
  <sheetPr>
    <pageSetUpPr fitToPage="1"/>
  </sheetPr>
  <dimension ref="A1:L17"/>
  <sheetViews>
    <sheetView zoomScaleNormal="100" workbookViewId="0"/>
  </sheetViews>
  <sheetFormatPr defaultColWidth="8.7265625" defaultRowHeight="14.5" x14ac:dyDescent="0.35"/>
  <cols>
    <col min="1" max="1" width="10.54296875" style="1" customWidth="1"/>
    <col min="2" max="2" width="31.453125" style="1" bestFit="1" customWidth="1"/>
    <col min="3" max="3" width="14.6328125" style="1" bestFit="1" customWidth="1"/>
    <col min="4" max="4" width="12.81640625" style="1" customWidth="1"/>
    <col min="5" max="5" width="13.54296875" style="1" bestFit="1" customWidth="1"/>
    <col min="6" max="6" width="7.1796875" style="57" customWidth="1"/>
    <col min="7" max="7" width="10.26953125" style="1" bestFit="1" customWidth="1"/>
    <col min="8" max="16384" width="8.7265625" style="1"/>
  </cols>
  <sheetData>
    <row r="1" spans="1:12" ht="15" thickBot="1" x14ac:dyDescent="0.4">
      <c r="A1" s="48" t="s">
        <v>27</v>
      </c>
      <c r="B1" s="99" t="s">
        <v>28</v>
      </c>
      <c r="C1" s="100"/>
      <c r="D1" s="100"/>
      <c r="E1" s="101"/>
      <c r="F1" s="47" t="s">
        <v>54</v>
      </c>
      <c r="G1" s="99" t="s">
        <v>30</v>
      </c>
      <c r="H1" s="100"/>
      <c r="I1" s="100"/>
      <c r="J1" s="100"/>
      <c r="K1" s="100"/>
      <c r="L1" s="101"/>
    </row>
    <row r="2" spans="1:12" x14ac:dyDescent="0.35">
      <c r="A2" s="1" t="s">
        <v>31</v>
      </c>
      <c r="B2" s="1" t="s">
        <v>55</v>
      </c>
    </row>
    <row r="3" spans="1:12" x14ac:dyDescent="0.35">
      <c r="C3" s="1" t="s">
        <v>302</v>
      </c>
      <c r="D3" s="1" t="s">
        <v>56</v>
      </c>
      <c r="E3" s="1" t="s">
        <v>57</v>
      </c>
      <c r="F3" s="8"/>
    </row>
    <row r="4" spans="1:12" x14ac:dyDescent="0.35">
      <c r="B4" s="1" t="s">
        <v>58</v>
      </c>
      <c r="C4" s="3">
        <v>480</v>
      </c>
      <c r="D4" s="3"/>
      <c r="E4" s="3"/>
      <c r="F4" s="8" t="s">
        <v>36</v>
      </c>
    </row>
    <row r="5" spans="1:12" x14ac:dyDescent="0.35">
      <c r="B5" s="1" t="s">
        <v>34</v>
      </c>
      <c r="C5" s="89">
        <v>4100</v>
      </c>
      <c r="D5" s="3"/>
      <c r="E5" s="3"/>
      <c r="F5" s="8" t="s">
        <v>36</v>
      </c>
    </row>
    <row r="6" spans="1:12" x14ac:dyDescent="0.35">
      <c r="C6" s="3">
        <f>C4+C5</f>
        <v>4580</v>
      </c>
      <c r="D6" s="3"/>
      <c r="E6" s="3"/>
      <c r="F6" s="8"/>
    </row>
    <row r="7" spans="1:12" x14ac:dyDescent="0.35">
      <c r="B7" s="1" t="s">
        <v>59</v>
      </c>
      <c r="C7" s="89">
        <v>490</v>
      </c>
      <c r="D7" s="3"/>
      <c r="E7" s="3"/>
      <c r="F7" s="8" t="s">
        <v>60</v>
      </c>
      <c r="H7" s="1" t="s">
        <v>61</v>
      </c>
    </row>
    <row r="8" spans="1:12" x14ac:dyDescent="0.35">
      <c r="C8" s="3">
        <f>C6-C7</f>
        <v>4090</v>
      </c>
      <c r="D8" s="3"/>
      <c r="E8" s="3"/>
      <c r="F8" s="8"/>
    </row>
    <row r="9" spans="1:12" x14ac:dyDescent="0.35">
      <c r="B9" s="1" t="s">
        <v>5</v>
      </c>
      <c r="C9" s="3"/>
      <c r="D9" s="3"/>
      <c r="E9" s="3">
        <v>750</v>
      </c>
      <c r="F9" s="50" t="s">
        <v>36</v>
      </c>
    </row>
    <row r="10" spans="1:12" x14ac:dyDescent="0.35">
      <c r="B10" s="1" t="s">
        <v>301</v>
      </c>
      <c r="C10" s="3">
        <f>$G$10*10%</f>
        <v>274</v>
      </c>
      <c r="D10" s="3">
        <f>$G$10*30%</f>
        <v>822</v>
      </c>
      <c r="E10" s="3">
        <f>$G$10*60%</f>
        <v>1644</v>
      </c>
      <c r="F10" s="50">
        <v>1</v>
      </c>
      <c r="G10" s="3">
        <f>2530+210</f>
        <v>2740</v>
      </c>
    </row>
    <row r="11" spans="1:12" x14ac:dyDescent="0.35">
      <c r="B11" s="1" t="s">
        <v>300</v>
      </c>
      <c r="C11" s="3">
        <f>$G$11*40%</f>
        <v>320</v>
      </c>
      <c r="D11" s="3">
        <f>$G$11*40%</f>
        <v>320</v>
      </c>
      <c r="E11" s="3">
        <f>$G$11*20%</f>
        <v>160</v>
      </c>
      <c r="F11" s="50">
        <v>1</v>
      </c>
      <c r="G11" s="1">
        <f>1000/5*4</f>
        <v>800</v>
      </c>
    </row>
    <row r="12" spans="1:12" x14ac:dyDescent="0.35">
      <c r="B12" s="1" t="s">
        <v>11</v>
      </c>
      <c r="C12" s="3"/>
      <c r="D12" s="3"/>
      <c r="E12" s="3">
        <v>425</v>
      </c>
      <c r="F12" s="50" t="s">
        <v>36</v>
      </c>
    </row>
    <row r="13" spans="1:12" x14ac:dyDescent="0.35">
      <c r="B13" s="1" t="s">
        <v>23</v>
      </c>
      <c r="C13" s="3"/>
      <c r="D13" s="3">
        <v>895</v>
      </c>
      <c r="E13" s="3"/>
      <c r="F13" s="50" t="s">
        <v>62</v>
      </c>
      <c r="H13" s="102" t="s">
        <v>63</v>
      </c>
      <c r="I13" s="102"/>
      <c r="J13" s="102"/>
      <c r="K13" s="102"/>
      <c r="L13" s="102"/>
    </row>
    <row r="14" spans="1:12" x14ac:dyDescent="0.35">
      <c r="B14" s="1" t="s">
        <v>24</v>
      </c>
      <c r="C14" s="3"/>
      <c r="D14" s="3">
        <v>-10</v>
      </c>
      <c r="E14" s="3"/>
      <c r="F14" s="50">
        <v>1</v>
      </c>
      <c r="H14" s="102"/>
      <c r="I14" s="102"/>
      <c r="J14" s="102"/>
      <c r="K14" s="102"/>
      <c r="L14" s="102"/>
    </row>
    <row r="15" spans="1:12" x14ac:dyDescent="0.35">
      <c r="B15" s="1" t="s">
        <v>64</v>
      </c>
      <c r="C15" s="3"/>
      <c r="D15" s="3">
        <v>68</v>
      </c>
      <c r="E15" s="3"/>
      <c r="F15" s="50">
        <v>1</v>
      </c>
    </row>
    <row r="16" spans="1:12" x14ac:dyDescent="0.35">
      <c r="B16" s="1" t="s">
        <v>65</v>
      </c>
      <c r="C16" s="89"/>
      <c r="D16" s="89">
        <f>G16/5</f>
        <v>35</v>
      </c>
      <c r="E16" s="89">
        <f>G16*4/5</f>
        <v>140</v>
      </c>
      <c r="F16" s="50">
        <v>1</v>
      </c>
      <c r="G16" s="1">
        <f>((2300-300)-(420-170))*10%</f>
        <v>175</v>
      </c>
      <c r="H16" s="1" t="s">
        <v>66</v>
      </c>
    </row>
    <row r="17" spans="3:6" x14ac:dyDescent="0.35">
      <c r="C17" s="3">
        <f>SUM(C8:C16)</f>
        <v>4684</v>
      </c>
      <c r="D17" s="3">
        <f>SUM(D8:D16)</f>
        <v>2130</v>
      </c>
      <c r="E17" s="117">
        <f>SUM(E8:E16)</f>
        <v>3119</v>
      </c>
      <c r="F17" s="8"/>
    </row>
  </sheetData>
  <mergeCells count="3">
    <mergeCell ref="B1:E1"/>
    <mergeCell ref="H13:L14"/>
    <mergeCell ref="G1:L1"/>
  </mergeCells>
  <printOptions gridLines="1"/>
  <pageMargins left="0.70866141732283472" right="0.70866141732283472" top="0.74803149606299213" bottom="0.74803149606299213" header="0.31496062992125984" footer="0.31496062992125984"/>
  <pageSetup paperSize="9" scale="9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F2BAA-8E80-4231-9AEF-16B52629758A}">
  <sheetPr>
    <pageSetUpPr fitToPage="1"/>
  </sheetPr>
  <dimension ref="A1:G17"/>
  <sheetViews>
    <sheetView zoomScaleNormal="100" workbookViewId="0"/>
  </sheetViews>
  <sheetFormatPr defaultColWidth="8.7265625" defaultRowHeight="14.5" x14ac:dyDescent="0.35"/>
  <cols>
    <col min="1" max="1" width="10.26953125" style="1" customWidth="1"/>
    <col min="2" max="2" width="25.26953125" style="1" bestFit="1" customWidth="1"/>
    <col min="3" max="3" width="9.1796875" style="1" bestFit="1" customWidth="1"/>
    <col min="4" max="4" width="8.7265625" style="57"/>
    <col min="5" max="5" width="4.26953125" style="1" customWidth="1"/>
    <col min="6" max="6" width="6.81640625" style="1" customWidth="1"/>
    <col min="7" max="7" width="20.453125" style="1" bestFit="1" customWidth="1"/>
    <col min="8" max="16384" width="8.7265625" style="1"/>
  </cols>
  <sheetData>
    <row r="1" spans="1:7" ht="29.5" thickBot="1" x14ac:dyDescent="0.4">
      <c r="A1" s="48" t="s">
        <v>27</v>
      </c>
      <c r="B1" s="99" t="s">
        <v>28</v>
      </c>
      <c r="C1" s="100"/>
      <c r="D1" s="100"/>
      <c r="E1" s="101"/>
      <c r="F1" s="47" t="s">
        <v>29</v>
      </c>
      <c r="G1" s="94" t="s">
        <v>30</v>
      </c>
    </row>
    <row r="2" spans="1:7" x14ac:dyDescent="0.35">
      <c r="A2" s="7" t="s">
        <v>67</v>
      </c>
      <c r="B2" s="7" t="s">
        <v>68</v>
      </c>
      <c r="D2" s="1"/>
      <c r="F2" s="93">
        <v>2</v>
      </c>
    </row>
    <row r="3" spans="1:7" x14ac:dyDescent="0.35">
      <c r="A3" s="7"/>
      <c r="B3" s="7" t="s">
        <v>69</v>
      </c>
      <c r="D3" s="1"/>
    </row>
    <row r="4" spans="1:7" x14ac:dyDescent="0.35">
      <c r="C4" s="88" t="s">
        <v>0</v>
      </c>
      <c r="D4" s="1"/>
    </row>
    <row r="5" spans="1:7" x14ac:dyDescent="0.35">
      <c r="B5" s="1" t="s">
        <v>34</v>
      </c>
      <c r="C5" s="3">
        <v>3060</v>
      </c>
      <c r="D5" s="8" t="s">
        <v>36</v>
      </c>
    </row>
    <row r="6" spans="1:7" x14ac:dyDescent="0.35">
      <c r="B6" s="1" t="s">
        <v>70</v>
      </c>
      <c r="C6" s="89">
        <f>'Q1 (a)'!D17</f>
        <v>335</v>
      </c>
      <c r="D6" s="8" t="s">
        <v>60</v>
      </c>
    </row>
    <row r="7" spans="1:7" x14ac:dyDescent="0.35">
      <c r="C7" s="3">
        <f>C5+C6</f>
        <v>3395</v>
      </c>
      <c r="D7" s="8"/>
    </row>
    <row r="8" spans="1:7" x14ac:dyDescent="0.35">
      <c r="B8" s="1" t="s">
        <v>71</v>
      </c>
      <c r="C8" s="89">
        <v>300</v>
      </c>
      <c r="D8" s="50">
        <v>1</v>
      </c>
    </row>
    <row r="9" spans="1:7" x14ac:dyDescent="0.35">
      <c r="B9" s="1" t="s">
        <v>72</v>
      </c>
      <c r="C9" s="90">
        <f>C7-C8</f>
        <v>3095</v>
      </c>
      <c r="D9" s="8"/>
    </row>
    <row r="17" spans="5:5" x14ac:dyDescent="0.35">
      <c r="E17" s="57"/>
    </row>
  </sheetData>
  <mergeCells count="1">
    <mergeCell ref="B1:E1"/>
  </mergeCells>
  <printOptions gridLines="1"/>
  <pageMargins left="0.70866141732283472" right="0.70866141732283472" top="0.74803149606299213" bottom="0.74803149606299213" header="0.31496062992125984" footer="0.31496062992125984"/>
  <pageSetup paperSize="9" fitToHeight="0" orientation="landscape" r:id="rId1"/>
  <ignoredErrors>
    <ignoredError sqref="C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A38E9-2DDF-44B5-BDCE-37D05A6C02BA}">
  <sheetPr>
    <pageSetUpPr fitToPage="1"/>
  </sheetPr>
  <dimension ref="A1:L44"/>
  <sheetViews>
    <sheetView zoomScaleNormal="100" zoomScaleSheetLayoutView="100" workbookViewId="0"/>
  </sheetViews>
  <sheetFormatPr defaultColWidth="8.7265625" defaultRowHeight="14.5" x14ac:dyDescent="0.35"/>
  <cols>
    <col min="1" max="1" width="10.7265625" style="1" customWidth="1"/>
    <col min="2" max="2" width="33.7265625" style="1" customWidth="1"/>
    <col min="3" max="4" width="9.1796875" style="1" bestFit="1" customWidth="1"/>
    <col min="5" max="5" width="10.1796875" style="1" bestFit="1" customWidth="1"/>
    <col min="6" max="11" width="8.7265625" style="1"/>
    <col min="12" max="12" width="10.7265625" style="1" customWidth="1"/>
    <col min="13" max="16384" width="8.7265625" style="1"/>
  </cols>
  <sheetData>
    <row r="1" spans="1:12" ht="29.5" thickBot="1" x14ac:dyDescent="0.4">
      <c r="A1" s="48" t="s">
        <v>27</v>
      </c>
      <c r="B1" s="99" t="s">
        <v>28</v>
      </c>
      <c r="C1" s="100"/>
      <c r="D1" s="100"/>
      <c r="E1" s="101"/>
      <c r="F1" s="47" t="s">
        <v>29</v>
      </c>
      <c r="G1" s="99" t="s">
        <v>30</v>
      </c>
      <c r="H1" s="100"/>
      <c r="I1" s="100"/>
      <c r="J1" s="100"/>
      <c r="K1" s="100"/>
      <c r="L1" s="101"/>
    </row>
    <row r="2" spans="1:12" x14ac:dyDescent="0.35">
      <c r="A2" s="1" t="s">
        <v>73</v>
      </c>
      <c r="B2" s="7" t="s">
        <v>32</v>
      </c>
      <c r="F2" s="93">
        <v>19</v>
      </c>
    </row>
    <row r="3" spans="1:12" x14ac:dyDescent="0.35">
      <c r="B3" s="7" t="s">
        <v>74</v>
      </c>
      <c r="F3" s="50"/>
    </row>
    <row r="4" spans="1:12" x14ac:dyDescent="0.35">
      <c r="C4" s="91" t="s">
        <v>0</v>
      </c>
      <c r="D4" s="91" t="s">
        <v>0</v>
      </c>
      <c r="E4" s="91" t="s">
        <v>0</v>
      </c>
      <c r="F4" s="50"/>
    </row>
    <row r="5" spans="1:12" x14ac:dyDescent="0.35">
      <c r="B5" s="7" t="s">
        <v>34</v>
      </c>
      <c r="C5" s="3"/>
      <c r="D5" s="3"/>
      <c r="E5" s="3"/>
      <c r="F5" s="50"/>
    </row>
    <row r="6" spans="1:12" x14ac:dyDescent="0.35">
      <c r="B6" s="1" t="s">
        <v>75</v>
      </c>
      <c r="C6" s="3"/>
      <c r="D6" s="3"/>
      <c r="E6" s="3">
        <f>E44</f>
        <v>10215</v>
      </c>
      <c r="F6" s="50">
        <v>4</v>
      </c>
    </row>
    <row r="7" spans="1:12" x14ac:dyDescent="0.35">
      <c r="B7" s="1" t="s">
        <v>76</v>
      </c>
      <c r="C7" s="3"/>
      <c r="D7" s="3"/>
      <c r="E7" s="3">
        <f>300-100</f>
        <v>200</v>
      </c>
      <c r="F7" s="50">
        <v>1</v>
      </c>
    </row>
    <row r="8" spans="1:12" x14ac:dyDescent="0.35">
      <c r="B8" s="1" t="s">
        <v>77</v>
      </c>
      <c r="C8" s="3"/>
      <c r="D8" s="3"/>
      <c r="E8" s="89">
        <v>1250</v>
      </c>
      <c r="F8" s="50">
        <v>1</v>
      </c>
    </row>
    <row r="9" spans="1:12" x14ac:dyDescent="0.35">
      <c r="C9" s="3"/>
      <c r="D9" s="3"/>
      <c r="E9" s="3">
        <f>SUM(E6:E8)</f>
        <v>11665</v>
      </c>
      <c r="F9" s="50"/>
    </row>
    <row r="10" spans="1:12" x14ac:dyDescent="0.35">
      <c r="B10" s="7" t="s">
        <v>78</v>
      </c>
      <c r="C10" s="3"/>
      <c r="D10" s="3"/>
      <c r="E10" s="3"/>
      <c r="F10" s="50"/>
    </row>
    <row r="11" spans="1:12" x14ac:dyDescent="0.35">
      <c r="B11" s="1" t="s">
        <v>79</v>
      </c>
      <c r="C11" s="3"/>
      <c r="D11" s="3">
        <v>490</v>
      </c>
      <c r="E11" s="3"/>
      <c r="F11" s="50" t="s">
        <v>36</v>
      </c>
    </row>
    <row r="12" spans="1:12" x14ac:dyDescent="0.35">
      <c r="B12" s="1" t="s">
        <v>16</v>
      </c>
      <c r="C12" s="3"/>
      <c r="D12" s="3">
        <v>900</v>
      </c>
      <c r="E12" s="3"/>
      <c r="F12" s="50" t="s">
        <v>81</v>
      </c>
      <c r="H12" s="1" t="s">
        <v>80</v>
      </c>
    </row>
    <row r="13" spans="1:12" x14ac:dyDescent="0.35">
      <c r="B13" s="1" t="s">
        <v>82</v>
      </c>
      <c r="C13" s="3"/>
      <c r="D13" s="3">
        <v>200</v>
      </c>
      <c r="E13" s="3"/>
      <c r="F13" s="50" t="s">
        <v>83</v>
      </c>
    </row>
    <row r="14" spans="1:12" x14ac:dyDescent="0.35">
      <c r="B14" s="1" t="s">
        <v>84</v>
      </c>
      <c r="C14" s="3"/>
      <c r="D14" s="89">
        <f>510+150</f>
        <v>660</v>
      </c>
      <c r="E14" s="89">
        <f>SUM(D11:D14)</f>
        <v>2250</v>
      </c>
      <c r="F14" s="50">
        <v>2</v>
      </c>
    </row>
    <row r="15" spans="1:12" x14ac:dyDescent="0.35">
      <c r="B15" s="7" t="s">
        <v>85</v>
      </c>
      <c r="C15" s="3"/>
      <c r="D15" s="3"/>
      <c r="E15" s="3">
        <f>E9+E14</f>
        <v>13915</v>
      </c>
      <c r="F15" s="50"/>
    </row>
    <row r="16" spans="1:12" x14ac:dyDescent="0.35">
      <c r="B16" s="7" t="s">
        <v>86</v>
      </c>
      <c r="C16" s="3"/>
      <c r="D16" s="3"/>
      <c r="E16" s="3"/>
      <c r="F16" s="50"/>
    </row>
    <row r="17" spans="2:8" x14ac:dyDescent="0.35">
      <c r="B17" s="1" t="s">
        <v>17</v>
      </c>
      <c r="C17" s="3">
        <v>670</v>
      </c>
      <c r="D17" s="3"/>
      <c r="E17" s="87"/>
      <c r="F17" s="50" t="s">
        <v>87</v>
      </c>
      <c r="H17" s="1" t="s">
        <v>88</v>
      </c>
    </row>
    <row r="18" spans="2:8" x14ac:dyDescent="0.35">
      <c r="B18" s="1" t="s">
        <v>89</v>
      </c>
      <c r="C18" s="3">
        <f>210+68</f>
        <v>278</v>
      </c>
      <c r="D18" s="3"/>
      <c r="E18" s="3"/>
      <c r="F18" s="50">
        <v>1</v>
      </c>
    </row>
    <row r="19" spans="2:8" x14ac:dyDescent="0.35">
      <c r="B19" s="1" t="s">
        <v>90</v>
      </c>
      <c r="C19" s="3">
        <v>90</v>
      </c>
      <c r="D19" s="3"/>
      <c r="E19" s="3"/>
      <c r="F19" s="50">
        <v>1</v>
      </c>
    </row>
    <row r="20" spans="2:8" x14ac:dyDescent="0.35">
      <c r="B20" s="1" t="s">
        <v>91</v>
      </c>
      <c r="C20" s="89">
        <f>'Q1 (a)'!D16</f>
        <v>702</v>
      </c>
      <c r="D20" s="3">
        <f>SUM(C17:C20)</f>
        <v>1740</v>
      </c>
      <c r="E20" s="3"/>
      <c r="F20" s="50">
        <v>1</v>
      </c>
    </row>
    <row r="21" spans="2:8" x14ac:dyDescent="0.35">
      <c r="B21" s="7" t="s">
        <v>92</v>
      </c>
      <c r="C21" s="3"/>
      <c r="D21" s="3"/>
      <c r="E21" s="3"/>
      <c r="F21" s="50"/>
    </row>
    <row r="22" spans="2:8" x14ac:dyDescent="0.35">
      <c r="B22" s="1" t="s">
        <v>2</v>
      </c>
      <c r="C22" s="3"/>
      <c r="D22" s="89">
        <v>2000</v>
      </c>
      <c r="E22" s="3"/>
      <c r="F22" s="50">
        <v>1</v>
      </c>
    </row>
    <row r="23" spans="2:8" x14ac:dyDescent="0.35">
      <c r="B23" s="7" t="s">
        <v>93</v>
      </c>
      <c r="C23" s="3"/>
      <c r="D23" s="3"/>
      <c r="E23" s="89">
        <f>D20+D22</f>
        <v>3740</v>
      </c>
      <c r="F23" s="50"/>
    </row>
    <row r="24" spans="2:8" x14ac:dyDescent="0.35">
      <c r="B24" s="7" t="s">
        <v>94</v>
      </c>
      <c r="C24" s="3"/>
      <c r="D24" s="3"/>
      <c r="E24" s="90">
        <f>E15-E23</f>
        <v>10175</v>
      </c>
      <c r="F24" s="50"/>
    </row>
    <row r="25" spans="2:8" x14ac:dyDescent="0.35">
      <c r="B25" s="7" t="s">
        <v>95</v>
      </c>
      <c r="C25" s="3"/>
      <c r="D25" s="3"/>
      <c r="E25" s="3"/>
      <c r="F25" s="50"/>
    </row>
    <row r="26" spans="2:8" x14ac:dyDescent="0.35">
      <c r="B26" s="1" t="s">
        <v>1</v>
      </c>
      <c r="C26" s="3"/>
      <c r="D26" s="3"/>
      <c r="E26" s="3">
        <v>5000</v>
      </c>
      <c r="F26" s="50">
        <v>1</v>
      </c>
    </row>
    <row r="27" spans="2:8" x14ac:dyDescent="0.35">
      <c r="B27" s="1" t="s">
        <v>19</v>
      </c>
      <c r="C27" s="3"/>
      <c r="D27" s="3"/>
      <c r="E27" s="3">
        <v>600</v>
      </c>
      <c r="F27" s="50">
        <v>1</v>
      </c>
    </row>
    <row r="28" spans="2:8" x14ac:dyDescent="0.35">
      <c r="B28" s="1" t="s">
        <v>96</v>
      </c>
      <c r="C28" s="3"/>
      <c r="D28" s="3"/>
      <c r="E28" s="3">
        <f>'Q1 (b)'!C9</f>
        <v>3095</v>
      </c>
      <c r="F28" s="50">
        <v>1</v>
      </c>
    </row>
    <row r="29" spans="2:8" x14ac:dyDescent="0.35">
      <c r="B29" s="1" t="s">
        <v>97</v>
      </c>
      <c r="C29" s="3"/>
      <c r="D29" s="3"/>
      <c r="E29" s="89">
        <f>840+640</f>
        <v>1480</v>
      </c>
      <c r="F29" s="50">
        <v>1</v>
      </c>
    </row>
    <row r="30" spans="2:8" x14ac:dyDescent="0.35">
      <c r="C30" s="3"/>
      <c r="D30" s="3"/>
      <c r="E30" s="90">
        <f>SUM(E26:E29)</f>
        <v>10175</v>
      </c>
      <c r="F30" s="50"/>
    </row>
    <row r="31" spans="2:8" x14ac:dyDescent="0.35">
      <c r="F31" s="50"/>
    </row>
    <row r="32" spans="2:8" x14ac:dyDescent="0.35">
      <c r="B32" s="1" t="s">
        <v>52</v>
      </c>
    </row>
    <row r="33" spans="2:6" x14ac:dyDescent="0.35">
      <c r="B33" s="1" t="s">
        <v>98</v>
      </c>
    </row>
    <row r="35" spans="2:6" x14ac:dyDescent="0.35">
      <c r="B35" s="1" t="s">
        <v>99</v>
      </c>
      <c r="C35" s="14" t="s">
        <v>100</v>
      </c>
      <c r="D35" s="14" t="s">
        <v>101</v>
      </c>
      <c r="E35" s="14" t="s">
        <v>102</v>
      </c>
    </row>
    <row r="36" spans="2:6" x14ac:dyDescent="0.35">
      <c r="C36" s="91" t="s">
        <v>0</v>
      </c>
      <c r="D36" s="91" t="s">
        <v>0</v>
      </c>
      <c r="E36" s="91" t="s">
        <v>0</v>
      </c>
    </row>
    <row r="37" spans="2:6" x14ac:dyDescent="0.35">
      <c r="B37" s="1" t="s">
        <v>14</v>
      </c>
    </row>
    <row r="38" spans="2:6" x14ac:dyDescent="0.35">
      <c r="B38" s="1" t="s">
        <v>103</v>
      </c>
      <c r="C38" s="3">
        <v>2300</v>
      </c>
      <c r="D38" s="3">
        <v>420</v>
      </c>
      <c r="E38" s="3">
        <f>C38-D38</f>
        <v>1880</v>
      </c>
      <c r="F38" s="8"/>
    </row>
    <row r="39" spans="2:6" x14ac:dyDescent="0.35">
      <c r="B39" s="1" t="s">
        <v>104</v>
      </c>
      <c r="C39" s="3">
        <v>300</v>
      </c>
      <c r="D39" s="3">
        <v>170</v>
      </c>
      <c r="E39" s="3">
        <f>C39-D39</f>
        <v>130</v>
      </c>
      <c r="F39" s="8" t="s">
        <v>105</v>
      </c>
    </row>
    <row r="40" spans="2:6" x14ac:dyDescent="0.35">
      <c r="B40" s="1" t="s">
        <v>106</v>
      </c>
      <c r="C40" s="3"/>
      <c r="D40" s="3">
        <v>175</v>
      </c>
      <c r="E40" s="3">
        <f>D40</f>
        <v>175</v>
      </c>
      <c r="F40" s="8" t="s">
        <v>105</v>
      </c>
    </row>
    <row r="41" spans="2:6" x14ac:dyDescent="0.35">
      <c r="B41" s="1" t="s">
        <v>107</v>
      </c>
      <c r="C41" s="3">
        <f>C38-C39</f>
        <v>2000</v>
      </c>
      <c r="D41" s="3">
        <f>D38-D39+D40</f>
        <v>425</v>
      </c>
      <c r="E41" s="3">
        <f>C41-D41</f>
        <v>1575</v>
      </c>
      <c r="F41" s="8" t="s">
        <v>105</v>
      </c>
    </row>
    <row r="42" spans="2:6" x14ac:dyDescent="0.35">
      <c r="C42" s="3"/>
      <c r="D42" s="3"/>
      <c r="E42" s="3"/>
      <c r="F42" s="8"/>
    </row>
    <row r="43" spans="2:6" x14ac:dyDescent="0.35">
      <c r="B43" s="1" t="s">
        <v>13</v>
      </c>
      <c r="C43" s="3">
        <v>8000</v>
      </c>
      <c r="D43" s="3">
        <f>C43*-8%</f>
        <v>-640</v>
      </c>
      <c r="E43" s="3">
        <f>C43-D43</f>
        <v>8640</v>
      </c>
      <c r="F43" s="8" t="s">
        <v>105</v>
      </c>
    </row>
    <row r="44" spans="2:6" x14ac:dyDescent="0.35">
      <c r="B44" s="1" t="s">
        <v>108</v>
      </c>
      <c r="C44" s="3"/>
      <c r="D44" s="3"/>
      <c r="E44" s="3">
        <f>SUM(E41:E43)</f>
        <v>10215</v>
      </c>
      <c r="F44" s="8"/>
    </row>
  </sheetData>
  <mergeCells count="2">
    <mergeCell ref="B1:E1"/>
    <mergeCell ref="G1:L1"/>
  </mergeCells>
  <printOptions gridLines="1"/>
  <pageMargins left="0.70866141732283472" right="0.70866141732283472" top="0.74803149606299213" bottom="0.74803149606299213" header="0.31496062992125984" footer="0.31496062992125984"/>
  <pageSetup paperSize="9" scale="74" orientation="landscape" r:id="rId1"/>
  <ignoredErrors>
    <ignoredError sqref="C4:E4 C36:E36" numberStoredAsText="1"/>
    <ignoredError sqref="E4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462DA-442E-476B-8272-61391C012C32}">
  <sheetPr>
    <pageSetUpPr fitToPage="1"/>
  </sheetPr>
  <dimension ref="A1:J73"/>
  <sheetViews>
    <sheetView tabSelected="1" zoomScaleNormal="100" workbookViewId="0"/>
  </sheetViews>
  <sheetFormatPr defaultColWidth="8.7265625" defaultRowHeight="14.5" x14ac:dyDescent="0.35"/>
  <cols>
    <col min="1" max="1" width="10.7265625" style="1" customWidth="1"/>
    <col min="2" max="2" width="28.453125" style="1" customWidth="1"/>
    <col min="3" max="3" width="9.54296875" style="1" bestFit="1" customWidth="1"/>
    <col min="4" max="4" width="4.1796875" style="1" customWidth="1"/>
    <col min="5" max="5" width="11" style="1" customWidth="1"/>
    <col min="6" max="6" width="4" style="1" customWidth="1"/>
    <col min="7" max="7" width="11.26953125" style="1" bestFit="1" customWidth="1"/>
    <col min="8" max="8" width="13" style="8" customWidth="1"/>
    <col min="9" max="9" width="9.1796875" style="14" customWidth="1"/>
    <col min="10" max="10" width="56.54296875" style="1" customWidth="1"/>
    <col min="11" max="16384" width="8.7265625" style="1"/>
  </cols>
  <sheetData>
    <row r="1" spans="1:10" ht="36" customHeight="1" thickBot="1" x14ac:dyDescent="0.4">
      <c r="A1" s="48" t="s">
        <v>27</v>
      </c>
      <c r="B1" s="99" t="s">
        <v>28</v>
      </c>
      <c r="C1" s="100"/>
      <c r="D1" s="100"/>
      <c r="E1" s="100"/>
      <c r="F1" s="100"/>
      <c r="G1" s="100"/>
      <c r="H1" s="100"/>
      <c r="I1" s="47" t="s">
        <v>29</v>
      </c>
      <c r="J1" s="46" t="s">
        <v>30</v>
      </c>
    </row>
    <row r="2" spans="1:10" ht="15.5" x14ac:dyDescent="0.35">
      <c r="A2" s="1" t="s">
        <v>109</v>
      </c>
      <c r="B2" s="41"/>
      <c r="C2" s="92" t="s">
        <v>110</v>
      </c>
      <c r="D2" s="92"/>
      <c r="E2" s="92" t="s">
        <v>111</v>
      </c>
      <c r="F2" s="92"/>
      <c r="G2" s="92" t="s">
        <v>112</v>
      </c>
      <c r="H2" s="45"/>
      <c r="I2" s="30">
        <v>3</v>
      </c>
    </row>
    <row r="3" spans="1:10" ht="15.5" x14ac:dyDescent="0.35">
      <c r="B3" s="41" t="s">
        <v>113</v>
      </c>
      <c r="C3" s="40">
        <v>1000</v>
      </c>
      <c r="D3" s="40"/>
      <c r="E3" s="40">
        <v>1100</v>
      </c>
      <c r="F3" s="40"/>
      <c r="G3" s="39">
        <v>300</v>
      </c>
      <c r="H3" s="44" t="s">
        <v>114</v>
      </c>
      <c r="J3" s="103" t="s">
        <v>115</v>
      </c>
    </row>
    <row r="4" spans="1:10" ht="15.5" x14ac:dyDescent="0.35">
      <c r="B4" s="41" t="s">
        <v>116</v>
      </c>
      <c r="C4" s="42">
        <v>4600</v>
      </c>
      <c r="D4" s="40"/>
      <c r="E4" s="42">
        <v>5000</v>
      </c>
      <c r="F4" s="40"/>
      <c r="G4" s="42">
        <v>5100</v>
      </c>
      <c r="H4" s="37"/>
      <c r="J4" s="103"/>
    </row>
    <row r="5" spans="1:10" ht="15.5" x14ac:dyDescent="0.35">
      <c r="B5" s="41"/>
      <c r="C5" s="40">
        <f>C3+C4</f>
        <v>5600</v>
      </c>
      <c r="D5" s="40"/>
      <c r="E5" s="40">
        <f>E3+E4</f>
        <v>6100</v>
      </c>
      <c r="F5" s="40"/>
      <c r="G5" s="40">
        <f>G3+G4</f>
        <v>5400</v>
      </c>
      <c r="H5" s="43"/>
      <c r="J5" s="103"/>
    </row>
    <row r="6" spans="1:10" ht="15.5" x14ac:dyDescent="0.35">
      <c r="B6" s="41" t="s">
        <v>117</v>
      </c>
      <c r="C6" s="42">
        <v>4500</v>
      </c>
      <c r="D6" s="40"/>
      <c r="E6" s="42">
        <v>5800</v>
      </c>
      <c r="F6" s="40"/>
      <c r="G6" s="42">
        <v>5000</v>
      </c>
      <c r="H6" s="37"/>
    </row>
    <row r="7" spans="1:10" ht="15.5" x14ac:dyDescent="0.35">
      <c r="B7" s="41" t="s">
        <v>118</v>
      </c>
      <c r="C7" s="38">
        <f>C5-C6</f>
        <v>1100</v>
      </c>
      <c r="D7" s="40"/>
      <c r="E7" s="38">
        <f>E5-E6</f>
        <v>300</v>
      </c>
      <c r="F7" s="39"/>
      <c r="G7" s="38">
        <f>G5-G6</f>
        <v>400</v>
      </c>
      <c r="H7" s="37">
        <v>1</v>
      </c>
    </row>
    <row r="9" spans="1:10" x14ac:dyDescent="0.35">
      <c r="A9" s="1" t="s">
        <v>119</v>
      </c>
      <c r="B9" s="34" t="s">
        <v>120</v>
      </c>
      <c r="I9" s="30">
        <v>10</v>
      </c>
      <c r="J9" s="27" t="s">
        <v>303</v>
      </c>
    </row>
    <row r="10" spans="1:10" x14ac:dyDescent="0.35">
      <c r="G10" s="3"/>
      <c r="I10" s="30"/>
      <c r="J10" s="27"/>
    </row>
    <row r="11" spans="1:10" x14ac:dyDescent="0.35">
      <c r="B11" s="27"/>
      <c r="C11" s="32" t="s">
        <v>110</v>
      </c>
      <c r="D11" s="33"/>
      <c r="E11" s="32" t="s">
        <v>111</v>
      </c>
      <c r="F11" s="33"/>
      <c r="G11" s="32" t="s">
        <v>112</v>
      </c>
      <c r="H11" s="27"/>
      <c r="I11" s="30"/>
      <c r="J11" s="20"/>
    </row>
    <row r="12" spans="1:10" x14ac:dyDescent="0.35">
      <c r="B12" s="27"/>
      <c r="C12" s="32" t="s">
        <v>121</v>
      </c>
      <c r="D12" s="33"/>
      <c r="E12" s="32" t="s">
        <v>121</v>
      </c>
      <c r="F12" s="33"/>
      <c r="G12" s="32" t="s">
        <v>121</v>
      </c>
      <c r="H12" s="27"/>
      <c r="I12" s="30"/>
    </row>
    <row r="13" spans="1:10" x14ac:dyDescent="0.35">
      <c r="B13" s="21" t="s">
        <v>117</v>
      </c>
      <c r="C13" s="23">
        <f>56*C6</f>
        <v>252000</v>
      </c>
      <c r="D13" s="24"/>
      <c r="E13" s="23">
        <f>56*E6</f>
        <v>324800</v>
      </c>
      <c r="F13" s="24"/>
      <c r="G13" s="23">
        <f>56*G6</f>
        <v>280000</v>
      </c>
      <c r="H13" s="22" t="s">
        <v>122</v>
      </c>
      <c r="I13" s="30"/>
    </row>
    <row r="14" spans="1:10" x14ac:dyDescent="0.35">
      <c r="B14" s="21"/>
      <c r="C14" s="24"/>
      <c r="D14" s="24"/>
      <c r="E14" s="24"/>
      <c r="F14" s="24"/>
      <c r="G14" s="24"/>
      <c r="H14" s="24"/>
      <c r="I14" s="30"/>
    </row>
    <row r="15" spans="1:10" ht="16.5" customHeight="1" x14ac:dyDescent="0.35">
      <c r="B15" s="21" t="s">
        <v>113</v>
      </c>
      <c r="C15" s="23">
        <f>C3*(26+8+4)</f>
        <v>38000</v>
      </c>
      <c r="D15" s="24"/>
      <c r="E15" s="23">
        <f>E3*(26+8+4)</f>
        <v>41800</v>
      </c>
      <c r="F15" s="22" t="s">
        <v>36</v>
      </c>
      <c r="G15" s="23">
        <f>G3*(26+8+4)</f>
        <v>11400</v>
      </c>
      <c r="H15" s="22" t="s">
        <v>36</v>
      </c>
      <c r="I15" s="30"/>
      <c r="J15" s="103" t="s">
        <v>123</v>
      </c>
    </row>
    <row r="16" spans="1:10" x14ac:dyDescent="0.35">
      <c r="B16" s="21"/>
      <c r="C16" s="24"/>
      <c r="D16" s="24"/>
      <c r="E16" s="24"/>
      <c r="F16" s="24"/>
      <c r="G16" s="24"/>
      <c r="H16" s="24"/>
      <c r="J16" s="103"/>
    </row>
    <row r="17" spans="1:10" x14ac:dyDescent="0.35">
      <c r="B17" s="21" t="s">
        <v>124</v>
      </c>
      <c r="C17" s="23">
        <f>8*C4</f>
        <v>36800</v>
      </c>
      <c r="D17" s="24"/>
      <c r="E17" s="23">
        <f>8*E4</f>
        <v>40000</v>
      </c>
      <c r="F17" s="24"/>
      <c r="G17" s="23">
        <f>8*G4</f>
        <v>40800</v>
      </c>
      <c r="H17" s="24"/>
      <c r="J17" s="103"/>
    </row>
    <row r="18" spans="1:10" x14ac:dyDescent="0.35">
      <c r="B18" s="21" t="s">
        <v>125</v>
      </c>
      <c r="C18" s="23">
        <f>C4*26</f>
        <v>119600</v>
      </c>
      <c r="D18" s="24"/>
      <c r="E18" s="23">
        <f>E4*26</f>
        <v>130000</v>
      </c>
      <c r="F18" s="24"/>
      <c r="G18" s="23">
        <f>G4*26</f>
        <v>132600</v>
      </c>
      <c r="H18" s="24"/>
    </row>
    <row r="19" spans="1:10" x14ac:dyDescent="0.35">
      <c r="B19" s="21" t="s">
        <v>126</v>
      </c>
      <c r="C19" s="25">
        <f>4*C4</f>
        <v>18400</v>
      </c>
      <c r="D19" s="24"/>
      <c r="E19" s="25">
        <f>4*E4</f>
        <v>20000</v>
      </c>
      <c r="F19" s="24"/>
      <c r="G19" s="25">
        <f>4*G4</f>
        <v>20400</v>
      </c>
      <c r="H19" s="24"/>
    </row>
    <row r="20" spans="1:10" ht="16.5" customHeight="1" x14ac:dyDescent="0.35">
      <c r="B20" s="21"/>
      <c r="C20" s="23">
        <f>SUM(C17:C19)</f>
        <v>174800</v>
      </c>
      <c r="D20" s="22" t="s">
        <v>127</v>
      </c>
      <c r="E20" s="23">
        <f>SUM(E17:E19)</f>
        <v>190000</v>
      </c>
      <c r="F20" s="22" t="s">
        <v>127</v>
      </c>
      <c r="G20" s="23">
        <f>SUM(G17:G19)</f>
        <v>193800</v>
      </c>
      <c r="H20" s="22" t="s">
        <v>127</v>
      </c>
      <c r="J20" s="103" t="s">
        <v>306</v>
      </c>
    </row>
    <row r="21" spans="1:10" x14ac:dyDescent="0.35">
      <c r="B21" s="21"/>
      <c r="D21" s="24"/>
      <c r="E21" s="24"/>
      <c r="F21" s="24"/>
      <c r="G21" s="24"/>
      <c r="H21" s="24"/>
      <c r="J21" s="103"/>
    </row>
    <row r="22" spans="1:10" x14ac:dyDescent="0.35">
      <c r="B22" s="21" t="s">
        <v>118</v>
      </c>
      <c r="C22" s="25">
        <f>C7*38</f>
        <v>41800</v>
      </c>
      <c r="D22" s="22">
        <v>1</v>
      </c>
      <c r="E22" s="25">
        <f>E7*38</f>
        <v>11400</v>
      </c>
      <c r="F22" s="22">
        <v>1</v>
      </c>
      <c r="G22" s="25">
        <f>G7*38</f>
        <v>15200</v>
      </c>
      <c r="H22" s="22">
        <v>1</v>
      </c>
      <c r="J22" s="103"/>
    </row>
    <row r="23" spans="1:10" x14ac:dyDescent="0.35">
      <c r="B23" s="21" t="s">
        <v>128</v>
      </c>
      <c r="C23" s="35">
        <f>C15+C20-C22</f>
        <v>171000</v>
      </c>
      <c r="D23" s="24"/>
      <c r="E23" s="35">
        <f>E15+E20-E22</f>
        <v>220400</v>
      </c>
      <c r="F23" s="24"/>
      <c r="G23" s="35">
        <f>G15+G20-G22</f>
        <v>190000</v>
      </c>
      <c r="H23" s="24"/>
      <c r="I23" s="30"/>
    </row>
    <row r="24" spans="1:10" x14ac:dyDescent="0.35">
      <c r="B24" s="21" t="s">
        <v>129</v>
      </c>
      <c r="C24" s="35">
        <f>C13-C23</f>
        <v>81000</v>
      </c>
      <c r="D24" s="24"/>
      <c r="E24" s="25">
        <f>E13-E23</f>
        <v>104400</v>
      </c>
      <c r="F24" s="24"/>
      <c r="G24" s="25">
        <f>G13-G23</f>
        <v>90000</v>
      </c>
      <c r="H24" s="26" t="s">
        <v>130</v>
      </c>
      <c r="I24" s="30"/>
      <c r="J24" s="36" t="s">
        <v>307</v>
      </c>
    </row>
    <row r="25" spans="1:10" x14ac:dyDescent="0.35">
      <c r="B25" s="21" t="s">
        <v>131</v>
      </c>
      <c r="C25" s="25">
        <v>7400</v>
      </c>
      <c r="D25" s="24"/>
      <c r="E25" s="35">
        <v>7300</v>
      </c>
      <c r="F25" s="24"/>
      <c r="G25" s="35">
        <v>7800</v>
      </c>
      <c r="H25" s="26" t="s">
        <v>130</v>
      </c>
      <c r="I25" s="30"/>
    </row>
    <row r="26" spans="1:10" x14ac:dyDescent="0.35">
      <c r="B26" s="21" t="s">
        <v>132</v>
      </c>
      <c r="C26" s="35">
        <f>C24-C25</f>
        <v>73600</v>
      </c>
      <c r="D26" s="24"/>
      <c r="E26" s="25">
        <f>E24-E25</f>
        <v>97100</v>
      </c>
      <c r="F26" s="24"/>
      <c r="G26" s="25">
        <f>G24-G25</f>
        <v>82200</v>
      </c>
      <c r="H26" s="26" t="s">
        <v>130</v>
      </c>
      <c r="I26" s="30"/>
    </row>
    <row r="27" spans="1:10" x14ac:dyDescent="0.35">
      <c r="G27" s="4"/>
      <c r="I27" s="30"/>
    </row>
    <row r="28" spans="1:10" x14ac:dyDescent="0.35">
      <c r="A28" s="1" t="s">
        <v>133</v>
      </c>
      <c r="B28" s="34" t="s">
        <v>134</v>
      </c>
      <c r="G28" s="4"/>
      <c r="I28" s="30">
        <v>15</v>
      </c>
      <c r="J28" s="103" t="s">
        <v>303</v>
      </c>
    </row>
    <row r="29" spans="1:10" x14ac:dyDescent="0.35">
      <c r="G29" s="4"/>
      <c r="I29" s="30"/>
      <c r="J29" s="103"/>
    </row>
    <row r="30" spans="1:10" ht="15" customHeight="1" x14ac:dyDescent="0.35">
      <c r="B30" s="27"/>
      <c r="C30" s="32" t="s">
        <v>110</v>
      </c>
      <c r="D30" s="33"/>
      <c r="E30" s="32" t="s">
        <v>111</v>
      </c>
      <c r="F30" s="33"/>
      <c r="G30" s="32" t="s">
        <v>112</v>
      </c>
      <c r="H30" s="27"/>
      <c r="I30" s="30"/>
    </row>
    <row r="31" spans="1:10" x14ac:dyDescent="0.35">
      <c r="B31" s="27"/>
      <c r="C31" s="32" t="s">
        <v>121</v>
      </c>
      <c r="D31" s="33"/>
      <c r="E31" s="32" t="s">
        <v>121</v>
      </c>
      <c r="F31" s="33"/>
      <c r="G31" s="32" t="s">
        <v>121</v>
      </c>
      <c r="H31" s="27"/>
      <c r="I31" s="30"/>
    </row>
    <row r="32" spans="1:10" x14ac:dyDescent="0.35">
      <c r="B32" s="21" t="s">
        <v>117</v>
      </c>
      <c r="C32" s="23">
        <f>56*C6</f>
        <v>252000</v>
      </c>
      <c r="D32" s="24"/>
      <c r="E32" s="23">
        <f>56*E6</f>
        <v>324800</v>
      </c>
      <c r="F32" s="24"/>
      <c r="G32" s="23">
        <f>56*G6</f>
        <v>280000</v>
      </c>
      <c r="H32" s="26" t="s">
        <v>122</v>
      </c>
    </row>
    <row r="33" spans="2:10" x14ac:dyDescent="0.35">
      <c r="B33" s="21"/>
      <c r="C33" s="24"/>
      <c r="D33" s="24"/>
      <c r="E33" s="24"/>
      <c r="F33" s="24"/>
      <c r="G33" s="24"/>
      <c r="H33" s="24"/>
    </row>
    <row r="34" spans="2:10" x14ac:dyDescent="0.35">
      <c r="B34" s="21" t="s">
        <v>113</v>
      </c>
      <c r="C34" s="23">
        <f>C3*$C$57</f>
        <v>39500</v>
      </c>
      <c r="D34" s="22">
        <v>1</v>
      </c>
      <c r="E34" s="23">
        <f>E3*$C$57</f>
        <v>43450</v>
      </c>
      <c r="F34" s="22" t="s">
        <v>83</v>
      </c>
      <c r="G34" s="23">
        <f>G3*$C$57</f>
        <v>11850</v>
      </c>
      <c r="H34" s="22" t="s">
        <v>83</v>
      </c>
      <c r="J34" s="27"/>
    </row>
    <row r="35" spans="2:10" x14ac:dyDescent="0.35">
      <c r="B35" s="21"/>
      <c r="C35" s="24"/>
      <c r="D35" s="24"/>
      <c r="E35" s="24"/>
      <c r="F35" s="24"/>
      <c r="G35" s="24"/>
      <c r="H35" s="24"/>
      <c r="I35" s="29"/>
      <c r="J35" s="27"/>
    </row>
    <row r="36" spans="2:10" x14ac:dyDescent="0.35">
      <c r="B36" s="21" t="s">
        <v>124</v>
      </c>
      <c r="C36" s="23">
        <v>36800</v>
      </c>
      <c r="D36" s="24"/>
      <c r="E36" s="23">
        <v>40000</v>
      </c>
      <c r="F36" s="24"/>
      <c r="G36" s="23">
        <v>40800</v>
      </c>
      <c r="H36" s="31"/>
      <c r="I36" s="30"/>
      <c r="J36" s="27"/>
    </row>
    <row r="37" spans="2:10" ht="20.25" customHeight="1" x14ac:dyDescent="0.35">
      <c r="B37" s="21" t="s">
        <v>125</v>
      </c>
      <c r="C37" s="23">
        <f>C4*26</f>
        <v>119600</v>
      </c>
      <c r="D37" s="24"/>
      <c r="E37" s="23">
        <f>E4*26</f>
        <v>130000</v>
      </c>
      <c r="F37" s="24"/>
      <c r="G37" s="23">
        <f>G4*26</f>
        <v>132600</v>
      </c>
      <c r="H37" s="22">
        <v>1</v>
      </c>
      <c r="I37" s="29"/>
    </row>
    <row r="38" spans="2:10" x14ac:dyDescent="0.35">
      <c r="B38" s="21" t="s">
        <v>135</v>
      </c>
      <c r="C38" s="23">
        <f>4*C4</f>
        <v>18400</v>
      </c>
      <c r="D38" s="24"/>
      <c r="E38" s="23">
        <f>4*E4</f>
        <v>20000</v>
      </c>
      <c r="F38" s="24"/>
      <c r="G38" s="23">
        <f>4*G4</f>
        <v>20400</v>
      </c>
      <c r="H38" s="24"/>
    </row>
    <row r="39" spans="2:10" x14ac:dyDescent="0.35">
      <c r="B39" s="21" t="s">
        <v>136</v>
      </c>
      <c r="C39" s="25">
        <f>$C$56*C4</f>
        <v>6900</v>
      </c>
      <c r="D39" s="22">
        <v>1</v>
      </c>
      <c r="E39" s="25">
        <f>$C$56*E4</f>
        <v>7500</v>
      </c>
      <c r="F39" s="22" t="s">
        <v>36</v>
      </c>
      <c r="G39" s="25">
        <f>$C$56*G4</f>
        <v>7650</v>
      </c>
      <c r="H39" s="22" t="s">
        <v>60</v>
      </c>
      <c r="J39" s="1" t="s">
        <v>137</v>
      </c>
    </row>
    <row r="40" spans="2:10" x14ac:dyDescent="0.35">
      <c r="B40" s="21"/>
      <c r="C40" s="23">
        <f>SUM(C36:C39)</f>
        <v>181700</v>
      </c>
      <c r="D40" s="24"/>
      <c r="E40" s="23">
        <f>SUM(E36:E39)</f>
        <v>197500</v>
      </c>
      <c r="F40" s="24"/>
      <c r="G40" s="23">
        <f>SUM(G36:G39)</f>
        <v>201450</v>
      </c>
      <c r="H40" s="24"/>
    </row>
    <row r="41" spans="2:10" x14ac:dyDescent="0.35">
      <c r="B41" s="21"/>
      <c r="C41" s="24"/>
      <c r="D41" s="24"/>
      <c r="E41" s="24"/>
      <c r="F41" s="24"/>
      <c r="G41" s="24"/>
      <c r="H41" s="24"/>
    </row>
    <row r="42" spans="2:10" x14ac:dyDescent="0.35">
      <c r="B42" s="21" t="s">
        <v>118</v>
      </c>
      <c r="C42" s="23">
        <f>C7*$C$57</f>
        <v>43450</v>
      </c>
      <c r="D42" s="22" t="s">
        <v>138</v>
      </c>
      <c r="E42" s="23">
        <f>E7*$C$57</f>
        <v>11850</v>
      </c>
      <c r="F42" s="22" t="s">
        <v>83</v>
      </c>
      <c r="G42" s="23">
        <f>G7*$C$57</f>
        <v>15800</v>
      </c>
      <c r="H42" s="22" t="s">
        <v>138</v>
      </c>
      <c r="I42" s="28"/>
      <c r="J42" s="1" t="s">
        <v>139</v>
      </c>
    </row>
    <row r="43" spans="2:10" ht="16.5" customHeight="1" x14ac:dyDescent="0.35">
      <c r="B43" s="21" t="s">
        <v>128</v>
      </c>
      <c r="C43" s="25">
        <f>C6*$C$57</f>
        <v>177750</v>
      </c>
      <c r="D43" s="24"/>
      <c r="E43" s="25">
        <f>E6*$C$57</f>
        <v>229100</v>
      </c>
      <c r="F43" s="24"/>
      <c r="G43" s="25">
        <f>G6*$C$57</f>
        <v>197500</v>
      </c>
      <c r="H43" s="24"/>
      <c r="J43" s="27"/>
    </row>
    <row r="44" spans="2:10" x14ac:dyDescent="0.35">
      <c r="B44" s="21"/>
      <c r="C44" s="23">
        <f>C32-C43</f>
        <v>74250</v>
      </c>
      <c r="D44" s="24"/>
      <c r="E44" s="23">
        <f>E32-E43</f>
        <v>95700</v>
      </c>
      <c r="F44" s="11"/>
      <c r="G44" s="23">
        <f>G32-G43</f>
        <v>82500</v>
      </c>
      <c r="H44" s="26" t="s">
        <v>122</v>
      </c>
      <c r="J44" s="27"/>
    </row>
    <row r="45" spans="2:10" x14ac:dyDescent="0.35">
      <c r="B45" s="21" t="s">
        <v>140</v>
      </c>
      <c r="C45" s="24" t="str">
        <f>IF(C39&lt;7400,"under","over")</f>
        <v>under</v>
      </c>
      <c r="D45" s="24"/>
      <c r="E45" s="24" t="str">
        <f>IF(E39&lt;7300,"under","over")</f>
        <v>over</v>
      </c>
      <c r="F45" s="24"/>
      <c r="G45" s="24" t="str">
        <f>IF(G39&lt;7800,"under","over")</f>
        <v>under</v>
      </c>
      <c r="H45" s="26" t="s">
        <v>122</v>
      </c>
      <c r="J45" s="103" t="s">
        <v>141</v>
      </c>
    </row>
    <row r="46" spans="2:10" x14ac:dyDescent="0.35">
      <c r="B46" s="21"/>
      <c r="C46" s="25">
        <f>C39-7400</f>
        <v>-500</v>
      </c>
      <c r="D46" s="22">
        <v>1</v>
      </c>
      <c r="E46" s="25">
        <f>E39-7300</f>
        <v>200</v>
      </c>
      <c r="F46" s="22">
        <v>1</v>
      </c>
      <c r="G46" s="25">
        <f>G39-7800</f>
        <v>-150</v>
      </c>
      <c r="H46" s="22">
        <v>1</v>
      </c>
      <c r="J46" s="103"/>
    </row>
    <row r="47" spans="2:10" x14ac:dyDescent="0.35">
      <c r="B47" s="21"/>
      <c r="C47" s="24"/>
      <c r="D47" s="24"/>
      <c r="E47" s="24"/>
      <c r="F47" s="24"/>
      <c r="G47" s="24"/>
      <c r="H47" s="24"/>
      <c r="J47" s="103" t="s">
        <v>142</v>
      </c>
    </row>
    <row r="48" spans="2:10" x14ac:dyDescent="0.35">
      <c r="B48" s="21" t="s">
        <v>132</v>
      </c>
      <c r="C48" s="23">
        <f>C44+C46</f>
        <v>73750</v>
      </c>
      <c r="D48" s="22">
        <v>1</v>
      </c>
      <c r="E48" s="23">
        <f>E44+E46</f>
        <v>95900</v>
      </c>
      <c r="F48" s="22">
        <v>1</v>
      </c>
      <c r="G48" s="23">
        <f>G44+G46</f>
        <v>82350</v>
      </c>
      <c r="H48" s="22">
        <v>1</v>
      </c>
      <c r="J48" s="103"/>
    </row>
    <row r="49" spans="1:10" x14ac:dyDescent="0.35">
      <c r="J49" s="20"/>
    </row>
    <row r="50" spans="1:10" x14ac:dyDescent="0.35">
      <c r="J50" s="20"/>
    </row>
    <row r="51" spans="1:10" x14ac:dyDescent="0.35">
      <c r="B51" s="10" t="s">
        <v>143</v>
      </c>
      <c r="C51" s="11" t="s">
        <v>121</v>
      </c>
    </row>
    <row r="52" spans="1:10" x14ac:dyDescent="0.35">
      <c r="B52" s="10" t="s">
        <v>124</v>
      </c>
      <c r="C52" s="19">
        <v>8</v>
      </c>
    </row>
    <row r="53" spans="1:10" x14ac:dyDescent="0.35">
      <c r="B53" s="10" t="s">
        <v>125</v>
      </c>
      <c r="C53" s="19">
        <v>26</v>
      </c>
    </row>
    <row r="54" spans="1:10" x14ac:dyDescent="0.35">
      <c r="B54" s="10" t="s">
        <v>144</v>
      </c>
      <c r="C54" s="18">
        <v>4</v>
      </c>
    </row>
    <row r="55" spans="1:10" x14ac:dyDescent="0.35">
      <c r="B55" s="10" t="s">
        <v>145</v>
      </c>
      <c r="C55" s="19">
        <f>SUM(C52:C54)</f>
        <v>38</v>
      </c>
    </row>
    <row r="56" spans="1:10" ht="21.75" customHeight="1" x14ac:dyDescent="0.35">
      <c r="B56" s="10" t="s">
        <v>146</v>
      </c>
      <c r="C56" s="18">
        <f>90000/60000</f>
        <v>1.5</v>
      </c>
    </row>
    <row r="57" spans="1:10" x14ac:dyDescent="0.35">
      <c r="B57" s="10" t="s">
        <v>147</v>
      </c>
      <c r="C57" s="17">
        <f>C55+C56</f>
        <v>39.5</v>
      </c>
    </row>
    <row r="59" spans="1:10" x14ac:dyDescent="0.35">
      <c r="A59" s="1" t="s">
        <v>148</v>
      </c>
      <c r="B59" s="7" t="s">
        <v>149</v>
      </c>
    </row>
    <row r="61" spans="1:10" x14ac:dyDescent="0.35">
      <c r="B61" s="7" t="s">
        <v>150</v>
      </c>
      <c r="J61" s="1" t="s">
        <v>151</v>
      </c>
    </row>
    <row r="62" spans="1:10" x14ac:dyDescent="0.35">
      <c r="B62" s="1" t="s">
        <v>152</v>
      </c>
    </row>
    <row r="63" spans="1:10" x14ac:dyDescent="0.35">
      <c r="B63" s="1" t="s">
        <v>153</v>
      </c>
    </row>
    <row r="64" spans="1:10" x14ac:dyDescent="0.35">
      <c r="B64" s="104" t="s">
        <v>154</v>
      </c>
      <c r="C64" s="104"/>
      <c r="D64" s="104"/>
      <c r="E64" s="104"/>
      <c r="F64" s="104"/>
      <c r="G64" s="104"/>
      <c r="H64" s="104"/>
      <c r="I64" s="104"/>
    </row>
    <row r="65" spans="2:10" x14ac:dyDescent="0.35">
      <c r="B65" s="16" t="s">
        <v>155</v>
      </c>
      <c r="C65" s="15"/>
      <c r="D65" s="15"/>
      <c r="E65" s="15"/>
      <c r="F65" s="15"/>
      <c r="G65" s="15"/>
      <c r="H65" s="15"/>
      <c r="I65" s="15"/>
    </row>
    <row r="67" spans="2:10" x14ac:dyDescent="0.35">
      <c r="B67" s="7" t="s">
        <v>156</v>
      </c>
      <c r="J67" s="1" t="s">
        <v>151</v>
      </c>
    </row>
    <row r="68" spans="2:10" x14ac:dyDescent="0.35">
      <c r="B68" s="1" t="s">
        <v>157</v>
      </c>
    </row>
    <row r="69" spans="2:10" x14ac:dyDescent="0.35">
      <c r="B69" s="16" t="s">
        <v>158</v>
      </c>
      <c r="C69" s="15"/>
      <c r="D69" s="15"/>
      <c r="E69" s="15"/>
      <c r="F69" s="15"/>
      <c r="G69" s="15"/>
    </row>
    <row r="70" spans="2:10" x14ac:dyDescent="0.35">
      <c r="B70" s="1" t="s">
        <v>159</v>
      </c>
    </row>
    <row r="71" spans="2:10" x14ac:dyDescent="0.35">
      <c r="B71" s="1" t="s">
        <v>160</v>
      </c>
    </row>
    <row r="72" spans="2:10" x14ac:dyDescent="0.35">
      <c r="B72" s="1" t="s">
        <v>161</v>
      </c>
    </row>
    <row r="73" spans="2:10" x14ac:dyDescent="0.35">
      <c r="B73" s="1" t="s">
        <v>162</v>
      </c>
    </row>
  </sheetData>
  <mergeCells count="8">
    <mergeCell ref="J45:J46"/>
    <mergeCell ref="J47:J48"/>
    <mergeCell ref="J3:J5"/>
    <mergeCell ref="B64:I64"/>
    <mergeCell ref="B1:H1"/>
    <mergeCell ref="J15:J17"/>
    <mergeCell ref="J20:J22"/>
    <mergeCell ref="J28:J29"/>
  </mergeCells>
  <printOptions gridLines="1"/>
  <pageMargins left="0.70866141732283472" right="0.70866141732283472" top="0.74803149606299213" bottom="0.74803149606299213" header="0.31496062992125984" footer="0.31496062992125984"/>
  <pageSetup paperSize="9" scale="83" fitToHeight="0" orientation="landscape" r:id="rId1"/>
  <rowBreaks count="2" manualBreakCount="2">
    <brk id="27" max="16383" man="1"/>
    <brk id="58" max="16383" man="1"/>
  </rowBreaks>
  <ignoredErrors>
    <ignoredError sqref="H3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A8EDF-2FC0-41B9-86EA-ECC4535BE3F8}">
  <sheetPr>
    <pageSetUpPr fitToPage="1"/>
  </sheetPr>
  <dimension ref="A1:K45"/>
  <sheetViews>
    <sheetView workbookViewId="0"/>
  </sheetViews>
  <sheetFormatPr defaultRowHeight="14.5" x14ac:dyDescent="0.35"/>
  <cols>
    <col min="1" max="1" width="10.1796875" bestFit="1" customWidth="1"/>
    <col min="2" max="2" width="33.26953125" customWidth="1"/>
    <col min="3" max="3" width="9.81640625" bestFit="1" customWidth="1"/>
    <col min="7" max="7" width="9.1796875" style="49"/>
    <col min="10" max="10" width="14.81640625" customWidth="1"/>
  </cols>
  <sheetData>
    <row r="1" spans="1:11" s="1" customFormat="1" ht="36" customHeight="1" thickBot="1" x14ac:dyDescent="0.4">
      <c r="A1" s="56" t="s">
        <v>27</v>
      </c>
      <c r="B1" s="99" t="s">
        <v>28</v>
      </c>
      <c r="C1" s="100"/>
      <c r="D1" s="100"/>
      <c r="E1" s="100"/>
      <c r="F1" s="101"/>
      <c r="G1" s="47" t="s">
        <v>29</v>
      </c>
      <c r="H1" s="105" t="s">
        <v>30</v>
      </c>
      <c r="I1" s="100"/>
      <c r="J1" s="106"/>
    </row>
    <row r="2" spans="1:11" x14ac:dyDescent="0.35">
      <c r="A2" s="1" t="s">
        <v>163</v>
      </c>
      <c r="B2" s="51" t="s">
        <v>304</v>
      </c>
      <c r="C2" s="1"/>
      <c r="D2" s="1"/>
      <c r="E2" s="1"/>
      <c r="F2" s="1"/>
      <c r="G2" s="30">
        <v>2</v>
      </c>
      <c r="H2" s="1" t="s">
        <v>164</v>
      </c>
      <c r="I2" s="1"/>
      <c r="J2" s="1"/>
      <c r="K2" s="1"/>
    </row>
    <row r="3" spans="1:11" x14ac:dyDescent="0.35">
      <c r="A3" s="1"/>
      <c r="B3" s="1"/>
      <c r="C3" s="1"/>
      <c r="D3" s="1"/>
      <c r="E3" s="1"/>
      <c r="F3" s="1"/>
      <c r="G3" s="14"/>
      <c r="H3" s="1" t="s">
        <v>165</v>
      </c>
      <c r="I3" s="1"/>
      <c r="J3" s="1"/>
      <c r="K3" s="1"/>
    </row>
    <row r="4" spans="1:11" x14ac:dyDescent="0.35">
      <c r="A4" s="1"/>
      <c r="B4" s="51" t="s">
        <v>166</v>
      </c>
      <c r="C4" s="1"/>
      <c r="D4" s="1"/>
      <c r="E4" s="1"/>
      <c r="F4" s="1"/>
      <c r="G4" s="14"/>
      <c r="H4" s="1"/>
      <c r="I4" s="1"/>
      <c r="J4" s="1"/>
      <c r="K4" s="1"/>
    </row>
    <row r="5" spans="1:11" x14ac:dyDescent="0.35">
      <c r="A5" s="1"/>
      <c r="B5" s="1"/>
      <c r="C5" s="1"/>
      <c r="D5" s="1"/>
      <c r="E5" s="1"/>
      <c r="F5" s="1"/>
      <c r="G5" s="14"/>
      <c r="H5" s="1"/>
      <c r="I5" s="1"/>
      <c r="J5" s="1"/>
      <c r="K5" s="1"/>
    </row>
    <row r="6" spans="1:11" x14ac:dyDescent="0.35">
      <c r="A6" s="1"/>
      <c r="B6" s="1" t="s">
        <v>167</v>
      </c>
      <c r="C6" s="1"/>
      <c r="D6" s="1"/>
      <c r="E6" s="1"/>
      <c r="F6" s="1"/>
      <c r="G6" s="14"/>
      <c r="H6" s="1"/>
      <c r="I6" s="1"/>
      <c r="J6" s="1"/>
      <c r="K6" s="1"/>
    </row>
    <row r="7" spans="1:11" x14ac:dyDescent="0.35">
      <c r="A7" s="1"/>
      <c r="B7" s="1"/>
      <c r="C7" s="1"/>
      <c r="D7" s="1"/>
      <c r="E7" s="1"/>
      <c r="F7" s="1"/>
      <c r="G7" s="14"/>
      <c r="H7" s="1"/>
      <c r="I7" s="1"/>
      <c r="J7" s="1"/>
      <c r="K7" s="1"/>
    </row>
    <row r="8" spans="1:11" x14ac:dyDescent="0.35">
      <c r="A8" s="1" t="s">
        <v>168</v>
      </c>
      <c r="B8" s="51" t="s">
        <v>169</v>
      </c>
      <c r="C8" s="1"/>
      <c r="D8" s="1"/>
      <c r="E8" s="1"/>
      <c r="F8" s="1"/>
      <c r="G8" s="30">
        <v>3</v>
      </c>
      <c r="H8" s="1"/>
      <c r="I8" s="1"/>
      <c r="J8" s="1"/>
      <c r="K8" s="1"/>
    </row>
    <row r="9" spans="1:11" x14ac:dyDescent="0.35">
      <c r="A9" s="1"/>
      <c r="B9" s="1"/>
      <c r="C9" s="1"/>
      <c r="D9" s="1"/>
      <c r="E9" s="1"/>
      <c r="F9" s="1"/>
      <c r="G9" s="14"/>
      <c r="H9" s="1"/>
      <c r="I9" s="1"/>
      <c r="J9" s="1"/>
      <c r="K9" s="1"/>
    </row>
    <row r="10" spans="1:11" x14ac:dyDescent="0.35">
      <c r="A10" s="1"/>
      <c r="B10" s="51" t="s">
        <v>170</v>
      </c>
      <c r="C10" s="1"/>
      <c r="D10" s="1"/>
      <c r="E10" s="1"/>
      <c r="F10" s="1"/>
      <c r="G10" s="14"/>
      <c r="H10" s="1"/>
      <c r="I10" s="1"/>
      <c r="J10" s="1"/>
      <c r="K10" s="1"/>
    </row>
    <row r="11" spans="1:11" x14ac:dyDescent="0.35">
      <c r="A11" s="1"/>
      <c r="B11" s="1"/>
      <c r="C11" s="1"/>
      <c r="D11" s="1"/>
      <c r="E11" s="1"/>
      <c r="F11" s="1"/>
      <c r="G11" s="14"/>
      <c r="H11" s="1"/>
      <c r="I11" s="1"/>
      <c r="J11" s="1"/>
      <c r="K11" s="1"/>
    </row>
    <row r="12" spans="1:11" x14ac:dyDescent="0.35">
      <c r="A12" s="1"/>
      <c r="B12" s="51" t="s">
        <v>171</v>
      </c>
      <c r="C12" s="1"/>
      <c r="D12" s="55">
        <f>8000*4</f>
        <v>32000</v>
      </c>
      <c r="E12" s="1" t="s">
        <v>172</v>
      </c>
      <c r="F12" s="50">
        <v>1</v>
      </c>
      <c r="G12" s="14"/>
      <c r="H12" s="1"/>
      <c r="I12" s="1"/>
      <c r="J12" s="1"/>
      <c r="K12" s="1"/>
    </row>
    <row r="13" spans="1:11" x14ac:dyDescent="0.35">
      <c r="A13" s="1"/>
      <c r="B13" s="1"/>
      <c r="C13" s="1"/>
      <c r="D13" s="1"/>
      <c r="E13" s="1"/>
      <c r="F13" s="1"/>
      <c r="G13" s="14"/>
      <c r="H13" s="1"/>
      <c r="I13" s="1"/>
      <c r="J13" s="1"/>
      <c r="K13" s="1"/>
    </row>
    <row r="14" spans="1:11" x14ac:dyDescent="0.35">
      <c r="A14" s="1"/>
      <c r="B14" s="51" t="s">
        <v>173</v>
      </c>
      <c r="C14" s="1"/>
      <c r="D14" s="1"/>
      <c r="E14" s="1"/>
      <c r="F14" s="1"/>
      <c r="G14" s="14"/>
      <c r="H14" s="1"/>
      <c r="I14" s="1"/>
      <c r="J14" s="1"/>
      <c r="K14" s="1"/>
    </row>
    <row r="15" spans="1:11" x14ac:dyDescent="0.35">
      <c r="A15" s="1"/>
      <c r="B15" s="1"/>
      <c r="C15" s="1"/>
      <c r="D15" s="1"/>
      <c r="E15" s="1"/>
      <c r="F15" s="1"/>
      <c r="G15" s="14"/>
      <c r="H15" s="1"/>
      <c r="I15" s="1"/>
      <c r="J15" s="1"/>
      <c r="K15" s="1"/>
    </row>
    <row r="16" spans="1:11" x14ac:dyDescent="0.35">
      <c r="A16" s="1"/>
      <c r="B16" s="51" t="s">
        <v>174</v>
      </c>
      <c r="C16" s="1"/>
      <c r="D16" s="1"/>
      <c r="E16" s="1"/>
      <c r="F16" s="1"/>
      <c r="G16" s="14"/>
      <c r="H16" s="1"/>
      <c r="I16" s="1"/>
      <c r="J16" s="1"/>
      <c r="K16" s="1"/>
    </row>
    <row r="17" spans="1:11" x14ac:dyDescent="0.35">
      <c r="A17" s="1"/>
      <c r="B17" s="1"/>
      <c r="C17" s="1"/>
      <c r="D17" s="1"/>
      <c r="E17" s="1"/>
      <c r="F17" s="1"/>
      <c r="G17" s="14"/>
      <c r="H17" s="1"/>
      <c r="I17" s="1"/>
      <c r="J17" s="1"/>
      <c r="K17" s="1"/>
    </row>
    <row r="18" spans="1:11" x14ac:dyDescent="0.35">
      <c r="A18" s="1"/>
      <c r="B18" s="51" t="s">
        <v>175</v>
      </c>
      <c r="C18" s="5">
        <f>384000+3500</f>
        <v>387500</v>
      </c>
      <c r="D18" s="50">
        <v>1</v>
      </c>
      <c r="E18" s="1"/>
      <c r="F18" s="1"/>
      <c r="G18" s="14"/>
      <c r="H18" s="1"/>
      <c r="I18" s="1"/>
      <c r="J18" s="1"/>
      <c r="K18" s="1"/>
    </row>
    <row r="19" spans="1:11" x14ac:dyDescent="0.35">
      <c r="A19" s="1"/>
      <c r="B19" s="1"/>
      <c r="C19" s="1"/>
      <c r="D19" s="1"/>
      <c r="E19" s="1"/>
      <c r="F19" s="1"/>
      <c r="G19" s="14"/>
      <c r="H19" s="1"/>
      <c r="I19" s="1"/>
      <c r="J19" s="1"/>
      <c r="K19" s="1"/>
    </row>
    <row r="20" spans="1:11" x14ac:dyDescent="0.35">
      <c r="A20" s="1" t="s">
        <v>176</v>
      </c>
      <c r="B20" s="51" t="s">
        <v>177</v>
      </c>
      <c r="C20" s="1"/>
      <c r="D20" s="1"/>
      <c r="E20" s="1"/>
      <c r="F20" s="1"/>
      <c r="G20" s="30">
        <v>2</v>
      </c>
      <c r="H20" s="1"/>
      <c r="I20" s="1"/>
      <c r="J20" s="1"/>
      <c r="K20" s="1"/>
    </row>
    <row r="21" spans="1:11" x14ac:dyDescent="0.35">
      <c r="A21" s="1"/>
      <c r="B21" s="1"/>
      <c r="C21" s="1"/>
      <c r="D21" s="1"/>
      <c r="E21" s="1"/>
      <c r="F21" s="1"/>
      <c r="G21" s="14"/>
      <c r="H21" s="1"/>
      <c r="I21" s="1"/>
      <c r="J21" s="1"/>
      <c r="K21" s="1"/>
    </row>
    <row r="22" spans="1:11" x14ac:dyDescent="0.35">
      <c r="A22" s="1"/>
      <c r="B22" s="51" t="s">
        <v>178</v>
      </c>
      <c r="C22" s="1"/>
      <c r="D22" s="1"/>
      <c r="E22" s="1"/>
      <c r="F22" s="1"/>
      <c r="G22" s="14"/>
      <c r="H22" s="1"/>
      <c r="I22" s="1"/>
      <c r="J22" s="1"/>
      <c r="K22" s="1"/>
    </row>
    <row r="23" spans="1:11" x14ac:dyDescent="0.35">
      <c r="A23" s="1"/>
      <c r="B23" s="1"/>
      <c r="C23" s="1"/>
      <c r="D23" s="1"/>
      <c r="E23" s="1"/>
      <c r="F23" s="1"/>
      <c r="G23" s="14"/>
      <c r="H23" s="1"/>
      <c r="I23" s="1"/>
      <c r="J23" s="1"/>
      <c r="K23" s="1"/>
    </row>
    <row r="24" spans="1:11" x14ac:dyDescent="0.35">
      <c r="A24" s="1"/>
      <c r="B24" s="51" t="s">
        <v>179</v>
      </c>
      <c r="C24" s="1"/>
      <c r="D24" s="55">
        <f>12000/12</f>
        <v>1000</v>
      </c>
      <c r="E24" s="1" t="s">
        <v>172</v>
      </c>
      <c r="F24" s="50">
        <v>1</v>
      </c>
      <c r="G24" s="14"/>
      <c r="H24" s="1"/>
      <c r="I24" s="1"/>
      <c r="J24" s="1"/>
      <c r="K24" s="1"/>
    </row>
    <row r="25" spans="1:11" x14ac:dyDescent="0.35">
      <c r="A25" s="1"/>
      <c r="B25" s="1"/>
      <c r="C25" s="1"/>
      <c r="D25" s="1"/>
      <c r="E25" s="1"/>
      <c r="F25" s="1"/>
      <c r="G25" s="14"/>
      <c r="H25" s="1"/>
      <c r="I25" s="1"/>
      <c r="J25" s="1"/>
      <c r="K25" s="1"/>
    </row>
    <row r="26" spans="1:11" x14ac:dyDescent="0.35">
      <c r="A26" s="1"/>
      <c r="B26" s="51" t="s">
        <v>180</v>
      </c>
      <c r="C26" s="1"/>
      <c r="D26" s="1"/>
      <c r="E26" s="1"/>
      <c r="F26" s="1"/>
      <c r="G26" s="14"/>
      <c r="H26" s="1"/>
      <c r="I26" s="1"/>
      <c r="J26" s="1"/>
      <c r="K26" s="1"/>
    </row>
    <row r="27" spans="1:11" x14ac:dyDescent="0.35">
      <c r="A27" s="1"/>
      <c r="B27" s="1"/>
      <c r="C27" s="1"/>
      <c r="D27" s="1"/>
      <c r="E27" s="1"/>
      <c r="F27" s="1"/>
      <c r="G27" s="14"/>
      <c r="H27" s="1"/>
      <c r="I27" s="1"/>
      <c r="J27" s="1"/>
      <c r="K27" s="1"/>
    </row>
    <row r="28" spans="1:11" x14ac:dyDescent="0.35">
      <c r="A28" s="1"/>
      <c r="B28" s="1" t="s">
        <v>181</v>
      </c>
      <c r="C28" s="54">
        <f>D12-D24</f>
        <v>31000</v>
      </c>
      <c r="D28" s="1" t="s">
        <v>172</v>
      </c>
      <c r="E28" s="50">
        <v>1</v>
      </c>
      <c r="F28" s="1"/>
      <c r="G28" s="14"/>
      <c r="H28" s="1"/>
      <c r="I28" s="1"/>
      <c r="J28" s="1"/>
      <c r="K28" s="1"/>
    </row>
    <row r="29" spans="1:11" x14ac:dyDescent="0.35">
      <c r="A29" s="1"/>
      <c r="B29" s="1"/>
      <c r="C29" s="1"/>
      <c r="D29" s="1"/>
      <c r="E29" s="1"/>
      <c r="F29" s="1"/>
      <c r="G29" s="14"/>
      <c r="H29" s="1"/>
      <c r="I29" s="1"/>
      <c r="J29" s="1"/>
      <c r="K29" s="1"/>
    </row>
    <row r="30" spans="1:11" x14ac:dyDescent="0.35">
      <c r="A30" s="1" t="s">
        <v>182</v>
      </c>
      <c r="B30" s="51" t="s">
        <v>183</v>
      </c>
      <c r="C30" s="1"/>
      <c r="D30" s="1"/>
      <c r="E30" s="1"/>
      <c r="F30" s="1"/>
      <c r="G30" s="30">
        <v>1</v>
      </c>
      <c r="H30" s="1"/>
      <c r="I30" s="1"/>
      <c r="J30" s="1"/>
      <c r="K30" s="1"/>
    </row>
    <row r="31" spans="1:11" x14ac:dyDescent="0.35">
      <c r="A31" s="1"/>
      <c r="B31" s="1" t="s">
        <v>184</v>
      </c>
      <c r="C31" s="1"/>
      <c r="D31" s="1"/>
      <c r="E31" s="1"/>
      <c r="F31" s="1"/>
      <c r="G31" s="14"/>
      <c r="H31" s="1"/>
      <c r="I31" s="1"/>
      <c r="J31" s="1"/>
      <c r="K31" s="1"/>
    </row>
    <row r="32" spans="1:11" x14ac:dyDescent="0.35">
      <c r="A32" s="1"/>
      <c r="B32" s="1"/>
      <c r="C32" s="1"/>
      <c r="D32" s="1"/>
      <c r="E32" s="1"/>
      <c r="F32" s="1"/>
      <c r="G32" s="14"/>
      <c r="H32" s="1"/>
      <c r="I32" s="1"/>
      <c r="J32" s="1"/>
      <c r="K32" s="1"/>
    </row>
    <row r="33" spans="1:11" x14ac:dyDescent="0.35">
      <c r="A33" s="1"/>
      <c r="B33" s="53">
        <v>387500</v>
      </c>
      <c r="C33" s="1"/>
      <c r="D33" s="1"/>
      <c r="E33" s="1"/>
      <c r="F33" s="1"/>
      <c r="G33" s="14"/>
      <c r="H33" s="1"/>
      <c r="I33" s="1"/>
      <c r="J33" s="1"/>
      <c r="K33" s="1"/>
    </row>
    <row r="34" spans="1:11" x14ac:dyDescent="0.35">
      <c r="A34" s="1"/>
      <c r="B34" s="51" t="s">
        <v>185</v>
      </c>
      <c r="C34" s="52">
        <f>B33/C28</f>
        <v>12.5</v>
      </c>
      <c r="D34" s="50">
        <v>1</v>
      </c>
      <c r="E34" s="1"/>
      <c r="F34" s="1"/>
      <c r="G34" s="14"/>
      <c r="H34" s="1"/>
      <c r="I34" s="1"/>
      <c r="J34" s="1"/>
      <c r="K34" s="1"/>
    </row>
    <row r="35" spans="1:11" x14ac:dyDescent="0.35">
      <c r="A35" s="1"/>
      <c r="B35" s="1"/>
      <c r="C35" s="1"/>
      <c r="D35" s="1"/>
      <c r="E35" s="1"/>
      <c r="F35" s="1"/>
      <c r="G35" s="14"/>
      <c r="H35" s="1"/>
      <c r="I35" s="1"/>
      <c r="J35" s="1"/>
      <c r="K35" s="1"/>
    </row>
    <row r="36" spans="1:11" x14ac:dyDescent="0.35">
      <c r="A36" s="1" t="s">
        <v>186</v>
      </c>
      <c r="B36" s="51" t="s">
        <v>187</v>
      </c>
      <c r="C36" s="1"/>
      <c r="D36" s="1"/>
      <c r="E36" s="1"/>
      <c r="F36" s="1"/>
      <c r="G36" s="30">
        <v>2</v>
      </c>
      <c r="H36" s="1"/>
      <c r="I36" s="1"/>
      <c r="J36" s="1"/>
      <c r="K36" s="1"/>
    </row>
    <row r="37" spans="1:11" x14ac:dyDescent="0.35">
      <c r="A37" s="1"/>
      <c r="B37" s="1"/>
      <c r="C37" s="1"/>
      <c r="D37" s="1"/>
      <c r="E37" s="1"/>
      <c r="F37" s="1"/>
      <c r="G37" s="14"/>
      <c r="H37" s="1"/>
      <c r="I37" s="1"/>
      <c r="J37" s="1"/>
      <c r="K37" s="1"/>
    </row>
    <row r="38" spans="1:11" x14ac:dyDescent="0.35">
      <c r="A38" s="1"/>
      <c r="B38" s="51" t="s">
        <v>188</v>
      </c>
      <c r="C38" s="1"/>
      <c r="D38" s="1"/>
      <c r="E38" s="1"/>
      <c r="F38" s="1"/>
      <c r="G38" s="14"/>
      <c r="H38" s="1"/>
      <c r="I38" s="1"/>
      <c r="J38" s="1"/>
      <c r="K38" s="1"/>
    </row>
    <row r="39" spans="1:11" x14ac:dyDescent="0.35">
      <c r="A39" s="1"/>
      <c r="B39" s="1"/>
      <c r="C39" s="1"/>
      <c r="D39" s="1"/>
      <c r="E39" s="1"/>
      <c r="F39" s="1"/>
      <c r="G39" s="14"/>
      <c r="H39" s="1"/>
      <c r="I39" s="1"/>
      <c r="J39" s="1"/>
      <c r="K39" s="1"/>
    </row>
    <row r="40" spans="1:11" x14ac:dyDescent="0.35">
      <c r="A40" s="1"/>
      <c r="B40" s="1" t="s">
        <v>189</v>
      </c>
      <c r="C40" s="1"/>
      <c r="D40" s="1"/>
      <c r="E40" s="1"/>
      <c r="F40" s="1"/>
      <c r="G40" s="14"/>
      <c r="H40" s="1"/>
      <c r="I40" s="1"/>
      <c r="J40" s="1"/>
      <c r="K40" s="1"/>
    </row>
    <row r="41" spans="1:11" x14ac:dyDescent="0.35">
      <c r="A41" s="1"/>
      <c r="B41" s="1"/>
      <c r="C41" s="1"/>
      <c r="D41" s="1"/>
      <c r="E41" s="1"/>
      <c r="F41" s="1"/>
      <c r="G41" s="14"/>
      <c r="H41" s="1"/>
      <c r="I41" s="1"/>
      <c r="J41" s="1"/>
      <c r="K41" s="1"/>
    </row>
    <row r="42" spans="1:11" x14ac:dyDescent="0.35">
      <c r="A42" s="1"/>
      <c r="B42" s="51" t="s">
        <v>190</v>
      </c>
      <c r="C42" s="1"/>
      <c r="D42" s="1"/>
      <c r="E42" s="1"/>
      <c r="F42" s="1"/>
      <c r="G42" s="14"/>
      <c r="H42" s="1"/>
      <c r="I42" s="1"/>
      <c r="J42" s="1"/>
      <c r="K42" s="1"/>
    </row>
    <row r="43" spans="1:11" x14ac:dyDescent="0.35">
      <c r="A43" s="1"/>
      <c r="B43" s="1" t="s">
        <v>191</v>
      </c>
      <c r="C43" s="1"/>
      <c r="D43" s="1"/>
      <c r="E43" s="1"/>
      <c r="F43" s="1"/>
      <c r="G43" s="14"/>
      <c r="H43" s="1"/>
      <c r="I43" s="1"/>
      <c r="J43" s="1"/>
      <c r="K43" s="1"/>
    </row>
    <row r="44" spans="1:11" x14ac:dyDescent="0.35">
      <c r="A44" s="1"/>
      <c r="B44" s="1"/>
      <c r="C44" s="1"/>
      <c r="D44" s="1"/>
      <c r="E44" s="1"/>
      <c r="F44" s="1"/>
      <c r="G44" s="14"/>
      <c r="H44" s="1"/>
      <c r="I44" s="1"/>
      <c r="J44" s="1"/>
      <c r="K44" s="1"/>
    </row>
    <row r="45" spans="1:11" x14ac:dyDescent="0.35">
      <c r="A45" s="1"/>
      <c r="B45" s="1" t="s">
        <v>192</v>
      </c>
      <c r="C45" s="5">
        <f>248000-7750</f>
        <v>240250</v>
      </c>
      <c r="D45" s="50">
        <v>1</v>
      </c>
      <c r="E45" s="1"/>
      <c r="F45" s="1"/>
      <c r="G45" s="14"/>
      <c r="H45" s="1"/>
      <c r="I45" s="1"/>
      <c r="J45" s="1"/>
      <c r="K45" s="1"/>
    </row>
  </sheetData>
  <mergeCells count="2">
    <mergeCell ref="H1:J1"/>
    <mergeCell ref="B1:F1"/>
  </mergeCells>
  <printOptions gridLines="1"/>
  <pageMargins left="0.70866141732283472" right="0.70866141732283472" top="0.74803149606299213" bottom="0.74803149606299213" header="0.31496062992125984" footer="0.31496062992125984"/>
  <pageSetup paperSize="9" fitToHeight="0" orientation="landscape" horizontalDpi="1200" verticalDpi="1200" r:id="rId1"/>
  <rowBreaks count="1" manualBreakCount="1">
    <brk id="2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98397-7B4F-4517-A817-FADEDEA1D26D}">
  <sheetPr>
    <pageSetUpPr fitToPage="1"/>
  </sheetPr>
  <dimension ref="A1:I43"/>
  <sheetViews>
    <sheetView zoomScaleNormal="100" workbookViewId="0"/>
  </sheetViews>
  <sheetFormatPr defaultColWidth="8.7265625" defaultRowHeight="14.5" x14ac:dyDescent="0.35"/>
  <cols>
    <col min="1" max="1" width="10.7265625" style="1" customWidth="1"/>
    <col min="2" max="2" width="40" style="1" customWidth="1"/>
    <col min="3" max="3" width="9.26953125" style="1" bestFit="1" customWidth="1"/>
    <col min="4" max="4" width="10.81640625" style="1" customWidth="1"/>
    <col min="5" max="5" width="12.453125" style="1" customWidth="1"/>
    <col min="6" max="6" width="4.1796875" style="57" customWidth="1"/>
    <col min="7" max="7" width="13.81640625" style="14" bestFit="1" customWidth="1"/>
    <col min="8" max="8" width="42.08984375" style="1" customWidth="1"/>
    <col min="9" max="16384" width="8.7265625" style="1"/>
  </cols>
  <sheetData>
    <row r="1" spans="1:9" ht="15" thickBot="1" x14ac:dyDescent="0.4">
      <c r="A1" s="56" t="s">
        <v>27</v>
      </c>
      <c r="B1" s="99" t="s">
        <v>28</v>
      </c>
      <c r="C1" s="100"/>
      <c r="D1" s="100"/>
      <c r="E1" s="100"/>
      <c r="F1" s="101"/>
      <c r="G1" s="74" t="s">
        <v>29</v>
      </c>
      <c r="H1" s="94" t="s">
        <v>30</v>
      </c>
    </row>
    <row r="2" spans="1:9" x14ac:dyDescent="0.35">
      <c r="A2" s="1" t="s">
        <v>193</v>
      </c>
      <c r="B2" s="73" t="s">
        <v>194</v>
      </c>
      <c r="C2" s="73"/>
      <c r="D2" s="73"/>
      <c r="E2" s="73"/>
      <c r="F2" s="71"/>
      <c r="G2" s="70">
        <v>28</v>
      </c>
      <c r="H2" s="7"/>
    </row>
    <row r="3" spans="1:9" x14ac:dyDescent="0.35">
      <c r="A3" s="68"/>
      <c r="B3" s="73" t="s">
        <v>195</v>
      </c>
      <c r="C3" s="73"/>
      <c r="D3" s="73"/>
      <c r="E3" s="73"/>
      <c r="F3" s="71"/>
      <c r="G3" s="70"/>
      <c r="H3" s="7"/>
    </row>
    <row r="4" spans="1:9" ht="17.25" customHeight="1" x14ac:dyDescent="0.35">
      <c r="A4" s="68"/>
      <c r="B4" s="73"/>
      <c r="C4" s="72" t="s">
        <v>0</v>
      </c>
      <c r="D4" s="72" t="s">
        <v>0</v>
      </c>
      <c r="E4" s="72" t="s">
        <v>0</v>
      </c>
      <c r="F4" s="71"/>
      <c r="G4" s="70"/>
      <c r="H4" s="7"/>
    </row>
    <row r="5" spans="1:9" x14ac:dyDescent="0.35">
      <c r="B5" s="63" t="s">
        <v>196</v>
      </c>
      <c r="C5" s="11"/>
      <c r="D5" s="11"/>
      <c r="E5" s="69">
        <v>1400</v>
      </c>
      <c r="F5" s="8">
        <v>1</v>
      </c>
      <c r="G5" s="30"/>
    </row>
    <row r="6" spans="1:9" x14ac:dyDescent="0.35">
      <c r="B6" s="63" t="s">
        <v>197</v>
      </c>
      <c r="C6" s="11"/>
      <c r="D6" s="11"/>
      <c r="E6" s="12">
        <v>40</v>
      </c>
      <c r="F6" s="62">
        <v>1</v>
      </c>
    </row>
    <row r="7" spans="1:9" x14ac:dyDescent="0.35">
      <c r="B7" s="10"/>
      <c r="C7" s="11"/>
      <c r="D7" s="11"/>
      <c r="E7" s="69">
        <f>E5+E6</f>
        <v>1440</v>
      </c>
      <c r="F7" s="59"/>
    </row>
    <row r="8" spans="1:9" x14ac:dyDescent="0.35">
      <c r="B8" s="63" t="s">
        <v>198</v>
      </c>
      <c r="C8" s="11">
        <v>40</v>
      </c>
      <c r="D8" s="11"/>
      <c r="E8" s="11"/>
      <c r="F8" s="8"/>
      <c r="H8" s="102" t="s">
        <v>199</v>
      </c>
    </row>
    <row r="9" spans="1:9" x14ac:dyDescent="0.35">
      <c r="B9" s="63" t="s">
        <v>200</v>
      </c>
      <c r="C9" s="12">
        <v>125</v>
      </c>
      <c r="D9" s="11"/>
      <c r="E9" s="11"/>
      <c r="F9" s="62">
        <v>1</v>
      </c>
      <c r="H9" s="102"/>
    </row>
    <row r="10" spans="1:9" x14ac:dyDescent="0.35">
      <c r="B10" s="10"/>
      <c r="C10" s="11">
        <f>C8+C9</f>
        <v>165</v>
      </c>
      <c r="D10" s="11"/>
      <c r="E10" s="11"/>
      <c r="F10" s="59"/>
    </row>
    <row r="11" spans="1:9" x14ac:dyDescent="0.35">
      <c r="B11" s="63" t="s">
        <v>201</v>
      </c>
      <c r="C11" s="12">
        <v>15</v>
      </c>
      <c r="D11" s="11">
        <f>C10-C11</f>
        <v>150</v>
      </c>
      <c r="E11" s="11"/>
      <c r="F11" s="8">
        <v>1</v>
      </c>
    </row>
    <row r="12" spans="1:9" x14ac:dyDescent="0.35">
      <c r="B12" s="63" t="s">
        <v>202</v>
      </c>
      <c r="C12" s="11">
        <v>27</v>
      </c>
      <c r="D12" s="11"/>
      <c r="E12" s="11"/>
      <c r="F12" s="62">
        <v>1</v>
      </c>
      <c r="G12" s="30"/>
      <c r="I12" s="6"/>
    </row>
    <row r="13" spans="1:9" x14ac:dyDescent="0.35">
      <c r="B13" s="63" t="s">
        <v>203</v>
      </c>
      <c r="C13" s="12">
        <v>5</v>
      </c>
      <c r="D13" s="11">
        <f>C12-C13</f>
        <v>22</v>
      </c>
      <c r="E13" s="11"/>
      <c r="F13" s="8">
        <v>1</v>
      </c>
      <c r="G13" s="30"/>
    </row>
    <row r="14" spans="1:9" x14ac:dyDescent="0.35">
      <c r="B14" s="63" t="s">
        <v>204</v>
      </c>
      <c r="C14" s="11"/>
      <c r="D14" s="12">
        <v>8</v>
      </c>
      <c r="E14" s="11"/>
      <c r="F14" s="62">
        <v>1</v>
      </c>
      <c r="G14" s="30"/>
    </row>
    <row r="15" spans="1:9" x14ac:dyDescent="0.35">
      <c r="B15" s="10"/>
      <c r="C15" s="11"/>
      <c r="D15" s="11">
        <f>SUM(D11:D14)</f>
        <v>180</v>
      </c>
      <c r="E15" s="11"/>
      <c r="F15" s="59"/>
      <c r="G15" s="30"/>
    </row>
    <row r="16" spans="1:9" x14ac:dyDescent="0.35">
      <c r="B16" s="63" t="s">
        <v>205</v>
      </c>
      <c r="C16" s="11">
        <v>287</v>
      </c>
      <c r="D16" s="11"/>
      <c r="E16" s="11"/>
      <c r="F16" s="8">
        <v>1</v>
      </c>
      <c r="G16" s="30"/>
    </row>
    <row r="17" spans="2:8" x14ac:dyDescent="0.35">
      <c r="B17" s="63" t="s">
        <v>206</v>
      </c>
      <c r="C17" s="12">
        <v>32</v>
      </c>
      <c r="D17" s="11">
        <f>C16+C17</f>
        <v>319</v>
      </c>
      <c r="E17" s="11"/>
      <c r="F17" s="62">
        <v>1</v>
      </c>
      <c r="G17" s="30"/>
    </row>
    <row r="18" spans="2:8" x14ac:dyDescent="0.35">
      <c r="B18" s="63" t="s">
        <v>207</v>
      </c>
      <c r="C18" s="11">
        <v>28</v>
      </c>
      <c r="D18" s="11"/>
      <c r="E18" s="11"/>
      <c r="F18" s="8">
        <v>1</v>
      </c>
      <c r="G18" s="30"/>
    </row>
    <row r="19" spans="2:8" x14ac:dyDescent="0.35">
      <c r="B19" s="63" t="s">
        <v>208</v>
      </c>
      <c r="C19" s="12">
        <v>4</v>
      </c>
      <c r="D19" s="12">
        <f>C18-C19</f>
        <v>24</v>
      </c>
      <c r="E19" s="11"/>
      <c r="F19" s="62">
        <v>1</v>
      </c>
      <c r="G19" s="30"/>
    </row>
    <row r="20" spans="2:8" ht="18" customHeight="1" x14ac:dyDescent="0.35">
      <c r="B20" s="68" t="s">
        <v>209</v>
      </c>
      <c r="C20" s="11"/>
      <c r="D20" s="11">
        <f>D15+D17+D19</f>
        <v>523</v>
      </c>
      <c r="E20" s="11"/>
      <c r="F20" s="67" t="s">
        <v>210</v>
      </c>
      <c r="G20" s="30"/>
      <c r="H20" s="9" t="s">
        <v>211</v>
      </c>
    </row>
    <row r="21" spans="2:8" x14ac:dyDescent="0.35">
      <c r="B21" s="63" t="s">
        <v>212</v>
      </c>
      <c r="C21" s="11">
        <v>320</v>
      </c>
      <c r="D21" s="11"/>
      <c r="E21" s="11"/>
      <c r="F21" s="62">
        <v>1</v>
      </c>
    </row>
    <row r="22" spans="2:8" x14ac:dyDescent="0.35">
      <c r="B22" s="63" t="s">
        <v>213</v>
      </c>
      <c r="C22" s="12">
        <v>5</v>
      </c>
      <c r="D22" s="11"/>
      <c r="E22" s="11"/>
      <c r="F22" s="8">
        <v>1</v>
      </c>
    </row>
    <row r="23" spans="2:8" x14ac:dyDescent="0.35">
      <c r="B23" s="10"/>
      <c r="C23" s="11">
        <f>C21-C22</f>
        <v>315</v>
      </c>
      <c r="D23" s="11"/>
      <c r="E23" s="11"/>
      <c r="F23" s="62"/>
    </row>
    <row r="24" spans="2:8" x14ac:dyDescent="0.35">
      <c r="B24" s="63" t="s">
        <v>214</v>
      </c>
      <c r="C24" s="12">
        <v>205</v>
      </c>
      <c r="D24" s="11"/>
      <c r="E24" s="11"/>
      <c r="F24" s="108">
        <v>1</v>
      </c>
      <c r="H24" s="102" t="s">
        <v>215</v>
      </c>
    </row>
    <row r="25" spans="2:8" x14ac:dyDescent="0.35">
      <c r="B25" s="63" t="s">
        <v>216</v>
      </c>
      <c r="C25" s="63"/>
      <c r="D25" s="11">
        <f>C23-C24</f>
        <v>110</v>
      </c>
      <c r="E25" s="107"/>
      <c r="F25" s="108"/>
      <c r="H25" s="102"/>
    </row>
    <row r="26" spans="2:8" x14ac:dyDescent="0.35">
      <c r="B26" s="63" t="s">
        <v>217</v>
      </c>
      <c r="C26" s="63"/>
      <c r="D26" s="11">
        <v>3</v>
      </c>
      <c r="E26" s="107"/>
      <c r="F26" s="62">
        <v>1</v>
      </c>
    </row>
    <row r="27" spans="2:8" x14ac:dyDescent="0.35">
      <c r="B27" s="63" t="s">
        <v>218</v>
      </c>
      <c r="C27" s="11"/>
      <c r="D27" s="11">
        <v>25</v>
      </c>
      <c r="E27" s="11"/>
      <c r="F27" s="8">
        <v>1</v>
      </c>
    </row>
    <row r="28" spans="2:8" x14ac:dyDescent="0.35">
      <c r="B28" s="63" t="s">
        <v>219</v>
      </c>
      <c r="C28" s="11"/>
      <c r="D28" s="11">
        <v>457</v>
      </c>
      <c r="E28" s="11"/>
      <c r="F28" s="8">
        <v>1</v>
      </c>
      <c r="G28" s="30"/>
    </row>
    <row r="29" spans="2:8" x14ac:dyDescent="0.35">
      <c r="B29" s="63" t="s">
        <v>220</v>
      </c>
      <c r="C29" s="11"/>
      <c r="D29" s="11">
        <v>42</v>
      </c>
      <c r="E29" s="11"/>
      <c r="F29" s="62">
        <v>1</v>
      </c>
      <c r="G29" s="30"/>
    </row>
    <row r="30" spans="2:8" x14ac:dyDescent="0.35">
      <c r="B30" s="63" t="s">
        <v>221</v>
      </c>
      <c r="C30" s="11"/>
      <c r="D30" s="11">
        <v>62</v>
      </c>
      <c r="E30" s="11"/>
      <c r="F30" s="62">
        <v>1</v>
      </c>
      <c r="G30" s="30"/>
    </row>
    <row r="31" spans="2:8" x14ac:dyDescent="0.35">
      <c r="B31" s="63" t="s">
        <v>222</v>
      </c>
      <c r="C31" s="11"/>
      <c r="D31" s="11">
        <v>14</v>
      </c>
      <c r="E31" s="11"/>
      <c r="F31" s="8">
        <v>1</v>
      </c>
      <c r="G31" s="30"/>
    </row>
    <row r="32" spans="2:8" x14ac:dyDescent="0.35">
      <c r="B32" s="63" t="s">
        <v>223</v>
      </c>
      <c r="C32" s="11"/>
      <c r="D32" s="11">
        <v>9</v>
      </c>
      <c r="E32" s="11"/>
      <c r="F32" s="66" t="s">
        <v>224</v>
      </c>
      <c r="G32" s="65" t="s">
        <v>225</v>
      </c>
      <c r="H32" s="9" t="s">
        <v>226</v>
      </c>
    </row>
    <row r="33" spans="1:8" x14ac:dyDescent="0.35">
      <c r="B33" s="63" t="s">
        <v>227</v>
      </c>
      <c r="C33" s="11"/>
      <c r="D33" s="12">
        <v>28</v>
      </c>
      <c r="E33" s="64">
        <f>SUM(D20:D33)</f>
        <v>1273</v>
      </c>
      <c r="F33" s="62">
        <v>1</v>
      </c>
      <c r="G33" s="30"/>
    </row>
    <row r="34" spans="1:8" x14ac:dyDescent="0.35">
      <c r="B34" s="10" t="s">
        <v>228</v>
      </c>
      <c r="C34" s="11"/>
      <c r="D34" s="11"/>
      <c r="E34" s="61">
        <f>E7-E33</f>
        <v>167</v>
      </c>
      <c r="F34" s="59"/>
      <c r="G34" s="30"/>
    </row>
    <row r="35" spans="1:8" ht="29" x14ac:dyDescent="0.35">
      <c r="B35" s="63" t="s">
        <v>229</v>
      </c>
      <c r="C35" s="11"/>
      <c r="D35" s="11"/>
      <c r="E35" s="118">
        <f>167*1400/2000</f>
        <v>116.9</v>
      </c>
      <c r="F35" s="62">
        <v>2</v>
      </c>
      <c r="G35" s="30"/>
    </row>
    <row r="36" spans="1:8" x14ac:dyDescent="0.35">
      <c r="B36" s="63" t="s">
        <v>230</v>
      </c>
      <c r="C36" s="11"/>
      <c r="D36" s="11"/>
      <c r="E36" s="119">
        <f>E37-E35</f>
        <v>50.099999999999994</v>
      </c>
      <c r="F36" s="62">
        <v>1</v>
      </c>
      <c r="G36" s="30"/>
    </row>
    <row r="37" spans="1:8" x14ac:dyDescent="0.35">
      <c r="B37" s="10"/>
      <c r="C37" s="11"/>
      <c r="D37" s="11"/>
      <c r="E37" s="61">
        <f>E34</f>
        <v>167</v>
      </c>
      <c r="F37" s="59"/>
    </row>
    <row r="38" spans="1:8" x14ac:dyDescent="0.35">
      <c r="B38" s="9" t="s">
        <v>231</v>
      </c>
      <c r="C38"/>
      <c r="D38"/>
      <c r="E38"/>
      <c r="F38" s="59"/>
    </row>
    <row r="39" spans="1:8" x14ac:dyDescent="0.35">
      <c r="B39" s="9"/>
      <c r="C39"/>
      <c r="D39"/>
      <c r="E39"/>
      <c r="F39" s="59"/>
    </row>
    <row r="40" spans="1:8" ht="17.25" customHeight="1" x14ac:dyDescent="0.35">
      <c r="A40" s="1" t="s">
        <v>232</v>
      </c>
      <c r="B40" s="7" t="s">
        <v>233</v>
      </c>
      <c r="E40" s="6"/>
      <c r="F40" s="59"/>
      <c r="G40" s="13">
        <v>2</v>
      </c>
      <c r="H40" s="60"/>
    </row>
    <row r="41" spans="1:8" x14ac:dyDescent="0.35">
      <c r="B41" s="102" t="s">
        <v>234</v>
      </c>
      <c r="C41" s="102"/>
      <c r="D41" s="102"/>
      <c r="E41" s="102"/>
      <c r="F41" s="102"/>
      <c r="G41" s="30"/>
      <c r="H41" s="102" t="s">
        <v>305</v>
      </c>
    </row>
    <row r="42" spans="1:8" ht="14.5" customHeight="1" x14ac:dyDescent="0.35">
      <c r="C42" s="83"/>
      <c r="D42" s="83"/>
      <c r="E42" s="83"/>
      <c r="G42" s="29"/>
      <c r="H42" s="102"/>
    </row>
    <row r="43" spans="1:8" ht="30.75" customHeight="1" x14ac:dyDescent="0.35">
      <c r="B43" s="102" t="s">
        <v>235</v>
      </c>
      <c r="C43" s="102"/>
      <c r="D43" s="102"/>
      <c r="E43" s="102"/>
      <c r="F43" s="102"/>
      <c r="H43" s="1" t="s">
        <v>236</v>
      </c>
    </row>
  </sheetData>
  <mergeCells count="8">
    <mergeCell ref="B43:F43"/>
    <mergeCell ref="B1:F1"/>
    <mergeCell ref="E25:E26"/>
    <mergeCell ref="H8:H9"/>
    <mergeCell ref="F24:F25"/>
    <mergeCell ref="H24:H25"/>
    <mergeCell ref="B41:F41"/>
    <mergeCell ref="H41:H42"/>
  </mergeCells>
  <printOptions gridLines="1"/>
  <pageMargins left="0.70866141732283472" right="0.70866141732283472" top="0.74803149606299213" bottom="0.74803149606299213" header="0.31496062992125984" footer="0.31496062992125984"/>
  <pageSetup paperSize="9" scale="71" orientation="landscape" r:id="rId1"/>
  <rowBreaks count="1" manualBreakCount="1">
    <brk id="35" max="16383" man="1"/>
  </rowBreaks>
  <ignoredErrors>
    <ignoredError sqref="C4:E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2BAD6-B6EA-4888-B5FC-7FBEA58DE7B5}">
  <sheetPr>
    <pageSetUpPr fitToPage="1"/>
  </sheetPr>
  <dimension ref="A1:N39"/>
  <sheetViews>
    <sheetView zoomScaleNormal="100" workbookViewId="0"/>
  </sheetViews>
  <sheetFormatPr defaultColWidth="8.7265625" defaultRowHeight="14.5" x14ac:dyDescent="0.35"/>
  <cols>
    <col min="1" max="1" width="10.7265625" style="1" customWidth="1"/>
    <col min="2" max="2" width="29" style="1" customWidth="1"/>
    <col min="3" max="3" width="9.26953125" style="1" bestFit="1" customWidth="1"/>
    <col min="4" max="4" width="4.81640625" style="1" customWidth="1"/>
    <col min="5" max="5" width="11.26953125" style="1" bestFit="1" customWidth="1"/>
    <col min="6" max="6" width="3.453125" style="1" customWidth="1"/>
    <col min="7" max="7" width="12.26953125" style="1" customWidth="1"/>
    <col min="8" max="8" width="3.26953125" style="1" customWidth="1"/>
    <col min="9" max="9" width="14.54296875" style="1" customWidth="1"/>
    <col min="10" max="10" width="3.1796875" style="1" customWidth="1"/>
    <col min="11" max="11" width="8.54296875" style="14" customWidth="1"/>
    <col min="12" max="12" width="0.26953125" style="1" customWidth="1"/>
    <col min="13" max="13" width="36.453125" style="1" customWidth="1"/>
    <col min="14" max="16384" width="8.7265625" style="1"/>
  </cols>
  <sheetData>
    <row r="1" spans="1:14" ht="31" customHeight="1" thickBot="1" x14ac:dyDescent="0.4">
      <c r="A1" s="56" t="s">
        <v>27</v>
      </c>
      <c r="B1" s="99" t="s">
        <v>28</v>
      </c>
      <c r="C1" s="100"/>
      <c r="D1" s="100"/>
      <c r="E1" s="100"/>
      <c r="F1" s="100"/>
      <c r="G1" s="100"/>
      <c r="H1" s="100"/>
      <c r="I1" s="100"/>
      <c r="J1" s="101"/>
      <c r="K1" s="47" t="s">
        <v>29</v>
      </c>
      <c r="L1" s="76"/>
      <c r="M1" s="94" t="s">
        <v>30</v>
      </c>
    </row>
    <row r="2" spans="1:14" x14ac:dyDescent="0.35">
      <c r="A2" s="1" t="s">
        <v>237</v>
      </c>
      <c r="B2" s="1" t="s">
        <v>238</v>
      </c>
      <c r="K2" s="30">
        <v>3</v>
      </c>
    </row>
    <row r="3" spans="1:14" x14ac:dyDescent="0.35">
      <c r="B3" s="75" t="s">
        <v>239</v>
      </c>
      <c r="C3" s="2">
        <v>0.65</v>
      </c>
      <c r="D3" s="1" t="s">
        <v>240</v>
      </c>
      <c r="E3" s="3">
        <v>40000</v>
      </c>
      <c r="F3" s="3"/>
      <c r="G3" s="3"/>
      <c r="H3" s="1" t="s">
        <v>241</v>
      </c>
      <c r="I3" s="4">
        <f>C3*E3</f>
        <v>26000</v>
      </c>
      <c r="J3" s="8"/>
    </row>
    <row r="4" spans="1:14" x14ac:dyDescent="0.35">
      <c r="B4" s="75" t="s">
        <v>242</v>
      </c>
      <c r="C4" s="5">
        <v>2</v>
      </c>
      <c r="D4" s="1" t="s">
        <v>240</v>
      </c>
      <c r="E4" s="3">
        <f>I3</f>
        <v>26000</v>
      </c>
      <c r="F4" s="3"/>
      <c r="G4" s="3"/>
      <c r="H4" s="1" t="s">
        <v>241</v>
      </c>
      <c r="I4" s="4">
        <f>E4*C4</f>
        <v>52000</v>
      </c>
      <c r="J4" s="8">
        <v>1</v>
      </c>
    </row>
    <row r="5" spans="1:14" x14ac:dyDescent="0.35">
      <c r="B5" s="75" t="s">
        <v>243</v>
      </c>
      <c r="C5" s="3">
        <f>E3</f>
        <v>40000</v>
      </c>
      <c r="D5" s="1" t="s">
        <v>244</v>
      </c>
      <c r="E5" s="3">
        <v>2000</v>
      </c>
      <c r="F5" s="3" t="s">
        <v>244</v>
      </c>
      <c r="G5" s="3">
        <v>1000</v>
      </c>
      <c r="H5" s="1" t="s">
        <v>241</v>
      </c>
      <c r="I5" s="4">
        <f>C5+E5+G5</f>
        <v>43000</v>
      </c>
      <c r="J5" s="8"/>
    </row>
    <row r="6" spans="1:14" x14ac:dyDescent="0.35">
      <c r="B6" s="75"/>
      <c r="C6" s="3">
        <f>I5</f>
        <v>43000</v>
      </c>
      <c r="D6" s="1" t="s">
        <v>240</v>
      </c>
      <c r="E6" s="2">
        <f>C3</f>
        <v>0.65</v>
      </c>
      <c r="H6" s="1" t="s">
        <v>241</v>
      </c>
      <c r="I6" s="4">
        <f>C6*E6</f>
        <v>27950</v>
      </c>
      <c r="J6" s="8">
        <v>1</v>
      </c>
    </row>
    <row r="7" spans="1:14" x14ac:dyDescent="0.35">
      <c r="B7" s="75" t="s">
        <v>12</v>
      </c>
      <c r="E7" s="3">
        <f>I4</f>
        <v>52000</v>
      </c>
      <c r="F7" s="1" t="s">
        <v>245</v>
      </c>
      <c r="G7" s="6">
        <f>I6</f>
        <v>27950</v>
      </c>
      <c r="H7" s="1" t="s">
        <v>241</v>
      </c>
      <c r="I7" s="4">
        <f>E7-G7</f>
        <v>24050</v>
      </c>
      <c r="J7" s="8">
        <v>1</v>
      </c>
      <c r="L7" s="6"/>
    </row>
    <row r="9" spans="1:14" x14ac:dyDescent="0.35">
      <c r="A9" s="1" t="s">
        <v>246</v>
      </c>
      <c r="B9" s="1" t="s">
        <v>247</v>
      </c>
      <c r="E9" s="6">
        <f>I5</f>
        <v>43000</v>
      </c>
      <c r="F9" s="1" t="s">
        <v>240</v>
      </c>
      <c r="G9" s="2">
        <f>1-C3</f>
        <v>0.35</v>
      </c>
      <c r="H9" s="1" t="s">
        <v>241</v>
      </c>
      <c r="I9" s="4">
        <f>E9*G9</f>
        <v>15049.999999999998</v>
      </c>
      <c r="J9" s="8">
        <v>1</v>
      </c>
      <c r="K9" s="30">
        <v>1</v>
      </c>
      <c r="N9" s="6"/>
    </row>
    <row r="10" spans="1:14" x14ac:dyDescent="0.35">
      <c r="K10" s="30"/>
    </row>
    <row r="11" spans="1:14" x14ac:dyDescent="0.35">
      <c r="A11" s="1" t="s">
        <v>248</v>
      </c>
      <c r="B11" s="1" t="s">
        <v>249</v>
      </c>
      <c r="K11" s="30">
        <v>2</v>
      </c>
    </row>
    <row r="12" spans="1:14" x14ac:dyDescent="0.35">
      <c r="B12" s="1" t="s">
        <v>250</v>
      </c>
      <c r="E12" s="3">
        <v>8480</v>
      </c>
      <c r="H12" s="8"/>
      <c r="K12" s="30"/>
    </row>
    <row r="13" spans="1:14" x14ac:dyDescent="0.35">
      <c r="B13" s="1" t="s">
        <v>251</v>
      </c>
      <c r="E13" s="3">
        <f>G5</f>
        <v>1000</v>
      </c>
      <c r="K13" s="30"/>
    </row>
    <row r="14" spans="1:14" x14ac:dyDescent="0.35">
      <c r="B14" s="1" t="s">
        <v>252</v>
      </c>
      <c r="E14" s="6">
        <f>E12-E13</f>
        <v>7480</v>
      </c>
      <c r="H14" s="8">
        <v>1</v>
      </c>
      <c r="K14" s="30"/>
    </row>
    <row r="15" spans="1:14" x14ac:dyDescent="0.35">
      <c r="B15" s="1" t="s">
        <v>253</v>
      </c>
      <c r="D15" s="1" t="s">
        <v>240</v>
      </c>
      <c r="E15" s="2">
        <f>E6</f>
        <v>0.65</v>
      </c>
      <c r="F15" s="1" t="s">
        <v>241</v>
      </c>
      <c r="G15" s="4">
        <f>E14*E15</f>
        <v>4862</v>
      </c>
      <c r="H15" s="8">
        <v>1</v>
      </c>
      <c r="K15" s="30"/>
      <c r="L15" s="6"/>
    </row>
    <row r="16" spans="1:14" x14ac:dyDescent="0.35">
      <c r="H16" s="8"/>
      <c r="K16" s="30"/>
    </row>
    <row r="17" spans="1:12" x14ac:dyDescent="0.35">
      <c r="A17" s="1" t="s">
        <v>254</v>
      </c>
      <c r="B17" s="1" t="s">
        <v>255</v>
      </c>
      <c r="H17" s="8"/>
      <c r="K17" s="30">
        <v>2</v>
      </c>
    </row>
    <row r="18" spans="1:12" x14ac:dyDescent="0.35">
      <c r="B18" s="1" t="s">
        <v>256</v>
      </c>
      <c r="E18" s="3">
        <v>2100</v>
      </c>
      <c r="H18" s="8"/>
    </row>
    <row r="19" spans="1:12" x14ac:dyDescent="0.35">
      <c r="B19" s="75" t="s">
        <v>257</v>
      </c>
      <c r="C19" s="75"/>
      <c r="D19" s="1" t="s">
        <v>240</v>
      </c>
      <c r="E19" s="2">
        <v>0.5</v>
      </c>
      <c r="F19" s="1" t="s">
        <v>241</v>
      </c>
      <c r="G19" s="4">
        <f>E18*E19</f>
        <v>1050</v>
      </c>
      <c r="H19" s="8">
        <v>1</v>
      </c>
    </row>
    <row r="20" spans="1:12" x14ac:dyDescent="0.35">
      <c r="B20" s="1" t="s">
        <v>258</v>
      </c>
      <c r="G20" s="4">
        <f>E18+G19</f>
        <v>3150</v>
      </c>
      <c r="H20" s="8"/>
    </row>
    <row r="21" spans="1:12" x14ac:dyDescent="0.35">
      <c r="B21" s="1" t="s">
        <v>132</v>
      </c>
      <c r="G21" s="4">
        <f>G19</f>
        <v>1050</v>
      </c>
      <c r="H21" s="8"/>
    </row>
    <row r="22" spans="1:12" x14ac:dyDescent="0.35">
      <c r="B22" s="1" t="s">
        <v>259</v>
      </c>
      <c r="E22" s="14"/>
      <c r="G22" s="2">
        <v>0.6</v>
      </c>
      <c r="H22" s="8">
        <v>1</v>
      </c>
    </row>
    <row r="23" spans="1:12" x14ac:dyDescent="0.35">
      <c r="B23" s="1" t="s">
        <v>255</v>
      </c>
      <c r="G23" s="4">
        <f>G21*G22</f>
        <v>630</v>
      </c>
      <c r="H23" s="7"/>
    </row>
    <row r="25" spans="1:12" x14ac:dyDescent="0.35">
      <c r="A25" s="1" t="s">
        <v>260</v>
      </c>
      <c r="B25" s="1" t="s">
        <v>261</v>
      </c>
      <c r="K25" s="30"/>
    </row>
    <row r="26" spans="1:12" x14ac:dyDescent="0.35">
      <c r="B26" s="109" t="s">
        <v>262</v>
      </c>
      <c r="C26" s="109"/>
      <c r="E26" s="54">
        <v>50480</v>
      </c>
      <c r="F26" s="1" t="s">
        <v>240</v>
      </c>
      <c r="G26" s="2">
        <f>1-E15</f>
        <v>0.35</v>
      </c>
      <c r="I26" s="4">
        <f>E26*G26</f>
        <v>17668</v>
      </c>
      <c r="J26" s="8">
        <v>1</v>
      </c>
      <c r="K26" s="30">
        <v>1</v>
      </c>
      <c r="L26" s="6"/>
    </row>
    <row r="27" spans="1:12" x14ac:dyDescent="0.35">
      <c r="I27" s="4"/>
      <c r="K27" s="30"/>
    </row>
    <row r="28" spans="1:12" x14ac:dyDescent="0.35">
      <c r="A28" s="1" t="s">
        <v>263</v>
      </c>
      <c r="B28" s="1" t="s">
        <v>264</v>
      </c>
      <c r="I28" s="4"/>
      <c r="K28" s="30">
        <v>1</v>
      </c>
    </row>
    <row r="29" spans="1:12" x14ac:dyDescent="0.35">
      <c r="B29" s="1" t="s">
        <v>265</v>
      </c>
      <c r="E29" s="4">
        <v>3200</v>
      </c>
      <c r="G29" s="8"/>
      <c r="K29" s="30"/>
    </row>
    <row r="30" spans="1:12" x14ac:dyDescent="0.35">
      <c r="B30" s="1" t="s">
        <v>266</v>
      </c>
      <c r="E30" s="4">
        <v>2400</v>
      </c>
      <c r="K30" s="30"/>
    </row>
    <row r="31" spans="1:12" x14ac:dyDescent="0.35">
      <c r="B31" s="1" t="s">
        <v>264</v>
      </c>
      <c r="E31" s="4">
        <f>E29-E30</f>
        <v>800</v>
      </c>
      <c r="G31" s="8">
        <v>1</v>
      </c>
      <c r="K31" s="30"/>
    </row>
    <row r="32" spans="1:12" x14ac:dyDescent="0.35">
      <c r="E32" s="4"/>
      <c r="K32" s="30"/>
    </row>
    <row r="33" spans="1:12" x14ac:dyDescent="0.35">
      <c r="A33" s="1" t="s">
        <v>267</v>
      </c>
      <c r="B33" s="1" t="s">
        <v>96</v>
      </c>
      <c r="I33" s="4"/>
      <c r="K33" s="30">
        <v>3</v>
      </c>
    </row>
    <row r="34" spans="1:12" x14ac:dyDescent="0.35">
      <c r="B34" s="1" t="s">
        <v>268</v>
      </c>
      <c r="I34" s="4">
        <v>32300</v>
      </c>
      <c r="L34" s="6"/>
    </row>
    <row r="35" spans="1:12" x14ac:dyDescent="0.35">
      <c r="B35" s="1" t="s">
        <v>249</v>
      </c>
      <c r="H35" s="1" t="s">
        <v>244</v>
      </c>
      <c r="I35" s="4">
        <f>G15</f>
        <v>4862</v>
      </c>
      <c r="J35" s="8">
        <v>1</v>
      </c>
      <c r="L35" s="6"/>
    </row>
    <row r="36" spans="1:12" x14ac:dyDescent="0.35">
      <c r="B36" s="1" t="s">
        <v>255</v>
      </c>
      <c r="H36" s="1" t="s">
        <v>245</v>
      </c>
      <c r="I36" s="4">
        <f>G23</f>
        <v>630</v>
      </c>
      <c r="J36" s="8">
        <v>1</v>
      </c>
      <c r="L36" s="6"/>
    </row>
    <row r="37" spans="1:12" x14ac:dyDescent="0.35">
      <c r="B37" s="1" t="s">
        <v>269</v>
      </c>
      <c r="E37" s="6">
        <f>I7</f>
        <v>24050</v>
      </c>
      <c r="F37" s="1" t="s">
        <v>240</v>
      </c>
      <c r="G37" s="2">
        <v>0.1</v>
      </c>
      <c r="H37" s="1" t="s">
        <v>245</v>
      </c>
      <c r="I37" s="4">
        <f>E37*G37</f>
        <v>2405</v>
      </c>
      <c r="J37" s="8">
        <v>1</v>
      </c>
      <c r="K37" s="29"/>
      <c r="L37" s="6"/>
    </row>
    <row r="38" spans="1:12" x14ac:dyDescent="0.35">
      <c r="I38" s="4">
        <f>I34+I35-I36-I37</f>
        <v>34127</v>
      </c>
      <c r="K38" s="30"/>
      <c r="L38" s="6"/>
    </row>
    <row r="39" spans="1:12" hidden="1" x14ac:dyDescent="0.35">
      <c r="K39" s="29"/>
    </row>
  </sheetData>
  <mergeCells count="2">
    <mergeCell ref="B26:C26"/>
    <mergeCell ref="B1:J1"/>
  </mergeCells>
  <printOptions gridLines="1"/>
  <pageMargins left="0.70866141732283472" right="0.70866141732283472" top="0.74803149606299213" bottom="0.74803149606299213" header="0.31496062992125984" footer="0.31496062992125984"/>
  <pageSetup paperSize="9" scale="88" fitToHeight="0" orientation="landscape" r:id="rId1"/>
  <rowBreaks count="1" manualBreakCount="1">
    <brk id="3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1FF78-1694-4429-A3D7-DCBF771E3E31}">
  <sheetPr>
    <pageSetUpPr fitToPage="1"/>
  </sheetPr>
  <dimension ref="A1:K37"/>
  <sheetViews>
    <sheetView zoomScaleNormal="100" workbookViewId="0"/>
  </sheetViews>
  <sheetFormatPr defaultColWidth="8.7265625" defaultRowHeight="14.5" x14ac:dyDescent="0.35"/>
  <cols>
    <col min="1" max="1" width="11.26953125" style="1" customWidth="1"/>
    <col min="2" max="2" width="43.26953125" style="1" customWidth="1"/>
    <col min="3" max="3" width="14.1796875" style="1" customWidth="1"/>
    <col min="4" max="4" width="18.1796875" style="1" customWidth="1"/>
    <col min="5" max="5" width="6" style="1" customWidth="1"/>
    <col min="6" max="6" width="8.54296875" style="14" customWidth="1"/>
    <col min="7" max="7" width="67.453125" style="1" customWidth="1"/>
    <col min="8" max="9" width="8.7265625" style="1"/>
    <col min="10" max="10" width="11.81640625" style="1" bestFit="1" customWidth="1"/>
    <col min="11" max="16384" width="8.7265625" style="1"/>
  </cols>
  <sheetData>
    <row r="1" spans="1:7" ht="36.75" customHeight="1" thickBot="1" x14ac:dyDescent="0.4">
      <c r="A1" s="56" t="s">
        <v>27</v>
      </c>
      <c r="B1" s="99" t="s">
        <v>28</v>
      </c>
      <c r="C1" s="110"/>
      <c r="D1" s="110"/>
      <c r="E1" s="111"/>
      <c r="F1" s="47" t="s">
        <v>29</v>
      </c>
      <c r="G1" s="48" t="s">
        <v>30</v>
      </c>
    </row>
    <row r="2" spans="1:7" hidden="1" x14ac:dyDescent="0.35">
      <c r="F2" s="29"/>
    </row>
    <row r="3" spans="1:7" x14ac:dyDescent="0.35">
      <c r="A3" s="1" t="s">
        <v>270</v>
      </c>
      <c r="B3" s="7" t="s">
        <v>271</v>
      </c>
      <c r="F3" s="30">
        <v>15</v>
      </c>
    </row>
    <row r="4" spans="1:7" x14ac:dyDescent="0.35">
      <c r="B4" s="7" t="s">
        <v>272</v>
      </c>
      <c r="C4" s="1" t="s">
        <v>121</v>
      </c>
      <c r="D4" s="1" t="s">
        <v>121</v>
      </c>
    </row>
    <row r="5" spans="1:7" ht="14.5" customHeight="1" x14ac:dyDescent="0.35">
      <c r="B5" s="1" t="s">
        <v>273</v>
      </c>
      <c r="C5" s="4"/>
      <c r="D5" s="4">
        <v>385000</v>
      </c>
      <c r="E5" s="8">
        <v>1</v>
      </c>
      <c r="G5" s="58"/>
    </row>
    <row r="6" spans="1:7" ht="18.75" customHeight="1" x14ac:dyDescent="0.35">
      <c r="B6" s="1" t="s">
        <v>274</v>
      </c>
      <c r="C6" s="4"/>
      <c r="D6" s="81">
        <f>24050-2405</f>
        <v>21645</v>
      </c>
      <c r="E6" s="8">
        <v>1</v>
      </c>
      <c r="G6" s="83"/>
    </row>
    <row r="7" spans="1:7" x14ac:dyDescent="0.35">
      <c r="C7" s="4"/>
      <c r="D7" s="4">
        <f>D5+D6</f>
        <v>406645</v>
      </c>
      <c r="E7" s="8"/>
      <c r="G7" s="83"/>
    </row>
    <row r="8" spans="1:7" x14ac:dyDescent="0.35">
      <c r="B8" s="7" t="s">
        <v>275</v>
      </c>
      <c r="C8" s="4"/>
      <c r="D8" s="4"/>
      <c r="E8" s="8"/>
    </row>
    <row r="9" spans="1:7" x14ac:dyDescent="0.35">
      <c r="B9" s="1" t="s">
        <v>276</v>
      </c>
      <c r="C9" s="4">
        <v>31470</v>
      </c>
      <c r="D9" s="4"/>
      <c r="E9" s="8">
        <v>2</v>
      </c>
      <c r="G9" s="82"/>
    </row>
    <row r="10" spans="1:7" x14ac:dyDescent="0.35">
      <c r="B10" s="1" t="s">
        <v>277</v>
      </c>
      <c r="C10" s="4">
        <v>10000</v>
      </c>
      <c r="D10" s="4"/>
      <c r="E10" s="8">
        <v>1</v>
      </c>
      <c r="G10"/>
    </row>
    <row r="11" spans="1:7" x14ac:dyDescent="0.35">
      <c r="B11" s="1" t="s">
        <v>278</v>
      </c>
      <c r="C11" s="81">
        <v>7820</v>
      </c>
      <c r="D11" s="81">
        <f>SUM(C9:C11)</f>
        <v>49290</v>
      </c>
      <c r="E11" s="8">
        <v>2</v>
      </c>
      <c r="G11" s="6"/>
    </row>
    <row r="12" spans="1:7" x14ac:dyDescent="0.35">
      <c r="B12" s="7" t="s">
        <v>279</v>
      </c>
      <c r="C12" s="4"/>
      <c r="D12" s="4">
        <f>D11+D7</f>
        <v>455935</v>
      </c>
      <c r="E12" s="8"/>
      <c r="G12" s="6"/>
    </row>
    <row r="13" spans="1:7" x14ac:dyDescent="0.35">
      <c r="B13" s="7" t="s">
        <v>280</v>
      </c>
      <c r="C13" s="4"/>
      <c r="D13" s="4"/>
      <c r="E13" s="8"/>
      <c r="G13" s="6"/>
    </row>
    <row r="14" spans="1:7" x14ac:dyDescent="0.35">
      <c r="B14" s="1" t="s">
        <v>281</v>
      </c>
      <c r="C14" s="4">
        <v>10760</v>
      </c>
      <c r="D14" s="4"/>
      <c r="E14" s="8">
        <v>1</v>
      </c>
      <c r="G14" s="6"/>
    </row>
    <row r="15" spans="1:7" x14ac:dyDescent="0.35">
      <c r="B15" s="1" t="s">
        <v>282</v>
      </c>
      <c r="C15" s="81">
        <v>1380</v>
      </c>
      <c r="D15" s="4"/>
      <c r="E15" s="8">
        <v>1</v>
      </c>
      <c r="G15" s="6"/>
    </row>
    <row r="16" spans="1:7" x14ac:dyDescent="0.35">
      <c r="C16" s="4">
        <v>12140</v>
      </c>
      <c r="D16" s="4"/>
      <c r="E16" s="8"/>
      <c r="G16" s="78"/>
    </row>
    <row r="17" spans="1:11" x14ac:dyDescent="0.35">
      <c r="B17" s="7" t="s">
        <v>283</v>
      </c>
      <c r="C17" s="4"/>
      <c r="D17" s="4"/>
      <c r="E17" s="8"/>
      <c r="G17" s="78"/>
    </row>
    <row r="18" spans="1:11" x14ac:dyDescent="0.35">
      <c r="B18" s="1" t="s">
        <v>284</v>
      </c>
      <c r="C18" s="81">
        <v>62000</v>
      </c>
      <c r="D18" s="81"/>
      <c r="E18" s="8">
        <v>1</v>
      </c>
      <c r="G18" s="78"/>
    </row>
    <row r="19" spans="1:11" x14ac:dyDescent="0.35">
      <c r="B19" s="7" t="s">
        <v>285</v>
      </c>
      <c r="C19" s="4"/>
      <c r="D19" s="80">
        <f>C16+C18</f>
        <v>74140</v>
      </c>
      <c r="E19" s="7"/>
      <c r="G19" s="78"/>
    </row>
    <row r="20" spans="1:11" x14ac:dyDescent="0.35">
      <c r="B20" s="1" t="s">
        <v>286</v>
      </c>
      <c r="C20" s="4"/>
      <c r="D20" s="79">
        <f>D12-D19</f>
        <v>381795</v>
      </c>
      <c r="E20" s="7"/>
      <c r="G20" s="78"/>
    </row>
    <row r="21" spans="1:11" x14ac:dyDescent="0.35">
      <c r="B21" s="7"/>
      <c r="C21" s="4"/>
      <c r="D21" s="4"/>
      <c r="E21" s="7"/>
      <c r="G21" s="6"/>
      <c r="H21" s="95"/>
      <c r="I21" s="96"/>
      <c r="J21" s="96"/>
      <c r="K21" s="95"/>
    </row>
    <row r="22" spans="1:11" x14ac:dyDescent="0.35">
      <c r="B22" s="95" t="s">
        <v>287</v>
      </c>
      <c r="C22" s="96"/>
      <c r="D22" s="96"/>
      <c r="E22" s="95"/>
      <c r="G22" s="6"/>
      <c r="H22" s="96"/>
      <c r="I22" s="96"/>
      <c r="J22" s="97"/>
      <c r="K22" s="8"/>
    </row>
    <row r="23" spans="1:11" x14ac:dyDescent="0.35">
      <c r="B23" s="96" t="s">
        <v>288</v>
      </c>
      <c r="C23" s="96"/>
      <c r="D23" s="97">
        <v>300000</v>
      </c>
      <c r="E23" s="8">
        <v>1</v>
      </c>
      <c r="G23" s="6"/>
      <c r="H23" s="96"/>
      <c r="I23" s="96"/>
      <c r="J23" s="97"/>
      <c r="K23" s="8"/>
    </row>
    <row r="24" spans="1:11" x14ac:dyDescent="0.35">
      <c r="B24" s="96" t="s">
        <v>289</v>
      </c>
      <c r="C24" s="96"/>
      <c r="D24" s="97">
        <v>30000</v>
      </c>
      <c r="E24" s="8">
        <v>1</v>
      </c>
      <c r="G24" s="6"/>
      <c r="H24" s="96"/>
      <c r="I24" s="96"/>
      <c r="J24" s="97"/>
      <c r="K24" s="8"/>
    </row>
    <row r="25" spans="1:11" x14ac:dyDescent="0.35">
      <c r="B25" s="96" t="s">
        <v>96</v>
      </c>
      <c r="C25" s="96"/>
      <c r="D25" s="97">
        <f>'Q4 (a) - (b)'!I38</f>
        <v>34127</v>
      </c>
      <c r="E25" s="8">
        <v>1</v>
      </c>
      <c r="G25" s="6"/>
      <c r="H25" s="96"/>
      <c r="I25" s="96"/>
      <c r="J25" s="97"/>
      <c r="K25" s="8"/>
    </row>
    <row r="26" spans="1:11" x14ac:dyDescent="0.35">
      <c r="B26" s="96" t="s">
        <v>247</v>
      </c>
      <c r="C26" s="96"/>
      <c r="D26" s="98">
        <f>'Q4 (a) - (b)'!I26</f>
        <v>17668</v>
      </c>
      <c r="E26" s="8">
        <v>1</v>
      </c>
      <c r="G26" s="6"/>
      <c r="H26" s="96"/>
      <c r="I26" s="96"/>
      <c r="J26" s="97"/>
      <c r="K26" s="8"/>
    </row>
    <row r="27" spans="1:11" x14ac:dyDescent="0.35">
      <c r="B27" s="96"/>
      <c r="C27" s="96"/>
      <c r="D27" s="98">
        <f>SUM(D23:D26)</f>
        <v>381795</v>
      </c>
      <c r="E27" s="8"/>
      <c r="G27" s="6"/>
      <c r="H27" s="96"/>
      <c r="I27" s="96"/>
      <c r="J27" s="97"/>
      <c r="K27" s="8"/>
    </row>
    <row r="28" spans="1:11" x14ac:dyDescent="0.35">
      <c r="B28" s="75" t="s">
        <v>290</v>
      </c>
      <c r="E28" s="8">
        <v>1</v>
      </c>
      <c r="H28" s="96"/>
      <c r="I28" s="96"/>
      <c r="J28" s="97"/>
      <c r="K28" s="8"/>
    </row>
    <row r="29" spans="1:11" x14ac:dyDescent="0.35">
      <c r="F29" s="30"/>
    </row>
    <row r="30" spans="1:11" ht="18" customHeight="1" x14ac:dyDescent="0.35">
      <c r="A30" s="1" t="s">
        <v>291</v>
      </c>
      <c r="B30" s="7" t="s">
        <v>292</v>
      </c>
      <c r="C30" s="77"/>
      <c r="D30" s="77"/>
      <c r="E30" s="8"/>
      <c r="F30" s="30">
        <v>2</v>
      </c>
    </row>
    <row r="31" spans="1:11" ht="29.5" customHeight="1" x14ac:dyDescent="0.35">
      <c r="B31" s="112" t="s">
        <v>293</v>
      </c>
      <c r="C31" s="112"/>
      <c r="D31" s="112"/>
      <c r="E31" s="26">
        <v>1</v>
      </c>
      <c r="G31" s="1" t="s">
        <v>294</v>
      </c>
    </row>
    <row r="32" spans="1:11" ht="44.5" customHeight="1" x14ac:dyDescent="0.35">
      <c r="B32" s="112" t="s">
        <v>295</v>
      </c>
      <c r="C32" s="113"/>
      <c r="D32" s="113"/>
      <c r="E32" s="26">
        <v>1</v>
      </c>
    </row>
    <row r="33" spans="2:5" ht="21" customHeight="1" x14ac:dyDescent="0.35">
      <c r="B33" s="114" t="s">
        <v>296</v>
      </c>
      <c r="C33" s="115"/>
      <c r="D33" s="115"/>
      <c r="E33" s="26">
        <v>1</v>
      </c>
    </row>
    <row r="34" spans="2:5" x14ac:dyDescent="0.35">
      <c r="B34" s="1" t="s">
        <v>297</v>
      </c>
      <c r="E34" s="26">
        <v>1</v>
      </c>
    </row>
    <row r="35" spans="2:5" x14ac:dyDescent="0.35">
      <c r="B35" s="1" t="s">
        <v>298</v>
      </c>
      <c r="E35" s="26">
        <v>1</v>
      </c>
    </row>
    <row r="36" spans="2:5" x14ac:dyDescent="0.35">
      <c r="B36" s="102" t="s">
        <v>299</v>
      </c>
      <c r="C36" s="102"/>
      <c r="D36" s="102"/>
      <c r="E36" s="116">
        <v>1</v>
      </c>
    </row>
    <row r="37" spans="2:5" x14ac:dyDescent="0.35">
      <c r="B37" s="102"/>
      <c r="C37" s="102"/>
      <c r="D37" s="102"/>
      <c r="E37" s="116"/>
    </row>
  </sheetData>
  <mergeCells count="6">
    <mergeCell ref="B1:E1"/>
    <mergeCell ref="B31:D31"/>
    <mergeCell ref="B32:D32"/>
    <mergeCell ref="B33:D33"/>
    <mergeCell ref="B36:D37"/>
    <mergeCell ref="E36:E37"/>
  </mergeCells>
  <printOptions gridLines="1"/>
  <pageMargins left="0.70866141732283472" right="0.70866141732283472" top="0.74803149606299213" bottom="0.74803149606299213" header="0.31496062992125984" footer="0.31496062992125984"/>
  <pageSetup paperSize="9" scale="77" fitToHeight="0" orientation="landscape" r:id="rId1"/>
  <rowBreaks count="1" manualBreakCount="1">
    <brk id="29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0A5AA676D2624AA7FE72318C9F5667" ma:contentTypeVersion="11" ma:contentTypeDescription="Create a new document." ma:contentTypeScope="" ma:versionID="0feb9b6a8f7fdbbaa0ec5669e84554e5">
  <xsd:schema xmlns:xsd="http://www.w3.org/2001/XMLSchema" xmlns:xs="http://www.w3.org/2001/XMLSchema" xmlns:p="http://schemas.microsoft.com/office/2006/metadata/properties" xmlns:ns2="d125b3f6-d0e6-4703-adf4-6684bfb85344" xmlns:ns3="04c0c4c1-8f5a-4404-9dca-a6e74bdc6e20" targetNamespace="http://schemas.microsoft.com/office/2006/metadata/properties" ma:root="true" ma:fieldsID="47a9ed1d410b20827ded8140f0aff4d1" ns2:_="" ns3:_="">
    <xsd:import namespace="d125b3f6-d0e6-4703-adf4-6684bfb85344"/>
    <xsd:import namespace="04c0c4c1-8f5a-4404-9dca-a6e74bdc6e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25b3f6-d0e6-4703-adf4-6684bfb853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c0c4c1-8f5a-4404-9dca-a6e74bdc6e2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D8BEDD-7E41-41EC-9B04-5A58831B9D8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FB21B43-5BF9-4850-8D44-40AE8E36A7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25b3f6-d0e6-4703-adf4-6684bfb85344"/>
    <ds:schemaRef ds:uri="04c0c4c1-8f5a-4404-9dca-a6e74bdc6e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8ED2B2-0A80-4511-B525-A098EC21A0B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5</vt:i4>
      </vt:variant>
    </vt:vector>
  </HeadingPairs>
  <TitlesOfParts>
    <vt:vector size="15" baseType="lpstr">
      <vt:lpstr>Changed TB</vt:lpstr>
      <vt:lpstr>Q1 (a)</vt:lpstr>
      <vt:lpstr>Q1 (a) Notes</vt:lpstr>
      <vt:lpstr>Q1 (b)</vt:lpstr>
      <vt:lpstr>Q1 (c)</vt:lpstr>
      <vt:lpstr>Q2 PART A</vt:lpstr>
      <vt:lpstr>Q2 PART B</vt:lpstr>
      <vt:lpstr>Q3 (a) - (b)</vt:lpstr>
      <vt:lpstr>Q4 (a) - (b)</vt:lpstr>
      <vt:lpstr>Q4 (c) - (d)</vt:lpstr>
      <vt:lpstr>'Q2 PART A'!Print_Titles</vt:lpstr>
      <vt:lpstr>'Q2 PART B'!Print_Titles</vt:lpstr>
      <vt:lpstr>'Q3 (a) - (b)'!Print_Titles</vt:lpstr>
      <vt:lpstr>'Q4 (a) - (b)'!Print_Titles</vt:lpstr>
      <vt:lpstr>'Q4 (c) - (d)'!Print_Titles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Cameron Christie</dc:creator>
  <cp:keywords/>
  <dc:description/>
  <cp:lastModifiedBy>Lindsay Thomson</cp:lastModifiedBy>
  <cp:revision/>
  <cp:lastPrinted>2026-07-06T08:09:12Z</cp:lastPrinted>
  <dcterms:created xsi:type="dcterms:W3CDTF">2023-03-08T14:44:36Z</dcterms:created>
  <dcterms:modified xsi:type="dcterms:W3CDTF">2026-07-06T08:09:36Z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0x010100120A5AA676D2624AA7FE72318C9F5667</vt:lpwstr>
  </property>
</Properties>
</file>