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sqanow.sharepoint.com/sites/extcollaboration/nqai/AH Accounting/2025 Accounting MI's for amends/"/>
    </mc:Choice>
  </mc:AlternateContent>
  <xr:revisionPtr revIDLastSave="61" documentId="8_{901B5BB3-7B14-4371-A3D3-BB254379F28A}" xr6:coauthVersionLast="47" xr6:coauthVersionMax="47" xr10:uidLastSave="{9F591292-FADA-4A16-AC5A-947AC188AD5A}"/>
  <bookViews>
    <workbookView xWindow="-13620" yWindow="2340" windowWidth="13740" windowHeight="23520" firstSheet="2" activeTab="5" xr2:uid="{37411797-D89B-4F9D-B8DA-A08A4118103B}"/>
  </bookViews>
  <sheets>
    <sheet name="Q1 a b" sheetId="1" r:id="rId1"/>
    <sheet name="Q2A" sheetId="2" r:id="rId2"/>
    <sheet name="Q2B" sheetId="3" r:id="rId3"/>
    <sheet name="Q3 a b" sheetId="4" r:id="rId4"/>
    <sheet name="Q3 c" sheetId="5" r:id="rId5"/>
    <sheet name="Q4A a b" sheetId="6" r:id="rId6"/>
    <sheet name="Q4B a " sheetId="7" r:id="rId7"/>
    <sheet name="Q4B a b" sheetId="8" r:id="rId8"/>
  </sheets>
  <definedNames>
    <definedName name="_xlnm.Print_Titles" localSheetId="0">'Q1 a b'!$1:$1</definedName>
    <definedName name="_xlnm.Print_Titles" localSheetId="5">'Q4A a b'!$1:$1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8" l="1"/>
  <c r="J13" i="8"/>
  <c r="M8" i="8"/>
  <c r="H8" i="8"/>
  <c r="M7" i="8"/>
  <c r="H7" i="8"/>
  <c r="M6" i="8"/>
  <c r="H6" i="8"/>
  <c r="M5" i="8"/>
  <c r="M9" i="8" s="1"/>
  <c r="H5" i="8"/>
  <c r="H9" i="8" s="1"/>
  <c r="H30" i="7"/>
  <c r="G30" i="7"/>
  <c r="F30" i="7"/>
  <c r="H27" i="7"/>
  <c r="G27" i="7"/>
  <c r="F27" i="7"/>
  <c r="E27" i="7"/>
  <c r="E30" i="7" s="1"/>
  <c r="H32" i="7" s="1"/>
  <c r="H14" i="7"/>
  <c r="G14" i="7"/>
  <c r="H11" i="7"/>
  <c r="G11" i="7"/>
  <c r="F11" i="7"/>
  <c r="F14" i="7" s="1"/>
  <c r="E11" i="7"/>
  <c r="E14" i="7" s="1"/>
  <c r="H16" i="7" s="1"/>
  <c r="G84" i="6"/>
  <c r="G79" i="6"/>
  <c r="F79" i="6"/>
  <c r="E65" i="6"/>
  <c r="E68" i="6" s="1"/>
  <c r="G85" i="6" s="1"/>
  <c r="E64" i="6"/>
  <c r="E59" i="6"/>
  <c r="E58" i="6"/>
  <c r="F84" i="6" s="1"/>
  <c r="E57" i="6"/>
  <c r="E84" i="6" s="1"/>
  <c r="H84" i="6" s="1"/>
  <c r="E54" i="6"/>
  <c r="E47" i="6"/>
  <c r="E50" i="6" s="1"/>
  <c r="G80" i="6" s="1"/>
  <c r="E42" i="6"/>
  <c r="E41" i="6"/>
  <c r="E40" i="6"/>
  <c r="E79" i="6" s="1"/>
  <c r="E35" i="6"/>
  <c r="E97" i="6" s="1"/>
  <c r="E24" i="6"/>
  <c r="E96" i="6" s="1"/>
  <c r="G15" i="6"/>
  <c r="G12" i="6"/>
  <c r="G16" i="6" s="1"/>
  <c r="E94" i="6" s="1"/>
  <c r="E95" i="6" s="1"/>
  <c r="E98" i="6" s="1"/>
  <c r="E100" i="6" s="1"/>
  <c r="E102" i="6" s="1"/>
  <c r="G9" i="6"/>
  <c r="H34" i="4"/>
  <c r="G34" i="4"/>
  <c r="E34" i="4"/>
  <c r="H33" i="4"/>
  <c r="G33" i="4"/>
  <c r="E33" i="4"/>
  <c r="H32" i="4"/>
  <c r="G32" i="4"/>
  <c r="E32" i="4"/>
  <c r="H31" i="4"/>
  <c r="G31" i="4"/>
  <c r="E31" i="4"/>
  <c r="H30" i="4"/>
  <c r="H37" i="4" s="1"/>
  <c r="G30" i="4"/>
  <c r="G37" i="4" s="1"/>
  <c r="E30" i="4"/>
  <c r="E37" i="4" s="1"/>
  <c r="H25" i="4"/>
  <c r="H24" i="4"/>
  <c r="H23" i="4"/>
  <c r="H22" i="4"/>
  <c r="H21" i="4"/>
  <c r="H17" i="4"/>
  <c r="G17" i="4"/>
  <c r="E17" i="4"/>
  <c r="E6" i="4"/>
  <c r="D9" i="4" s="1"/>
  <c r="E5" i="4"/>
  <c r="E4" i="4"/>
  <c r="E3" i="4"/>
  <c r="G86" i="6" l="1"/>
  <c r="E86" i="6"/>
  <c r="H79" i="6"/>
  <c r="E49" i="6"/>
  <c r="F80" i="6" s="1"/>
  <c r="H80" i="6" s="1"/>
  <c r="E67" i="6"/>
  <c r="F85" i="6" s="1"/>
  <c r="H85" i="6" s="1"/>
  <c r="D48" i="3"/>
  <c r="D43" i="3"/>
  <c r="D38" i="3"/>
  <c r="D33" i="3"/>
  <c r="D28" i="3"/>
  <c r="D22" i="3"/>
  <c r="D16" i="3"/>
  <c r="F9" i="3"/>
  <c r="F8" i="3"/>
  <c r="F7" i="3"/>
  <c r="F6" i="3"/>
  <c r="F10" i="3" s="1"/>
  <c r="G25" i="2"/>
  <c r="G17" i="2"/>
  <c r="G10" i="2"/>
  <c r="G9" i="2"/>
  <c r="G12" i="2" s="1"/>
  <c r="H6" i="2"/>
  <c r="H25" i="2" s="1"/>
  <c r="F86" i="6" l="1"/>
  <c r="G19" i="2"/>
  <c r="G20" i="2" s="1"/>
  <c r="G22" i="2" s="1"/>
  <c r="G27" i="2" s="1"/>
  <c r="H9" i="2"/>
  <c r="H17" i="2"/>
  <c r="H10" i="2"/>
  <c r="H12" i="2" l="1"/>
  <c r="H19" i="2" l="1"/>
  <c r="H20" i="2" s="1"/>
  <c r="H22" i="2" s="1"/>
  <c r="H27" i="2" s="1"/>
  <c r="F54" i="1"/>
  <c r="G52" i="1"/>
  <c r="G47" i="1"/>
  <c r="G49" i="1" s="1"/>
  <c r="F47" i="1"/>
  <c r="F49" i="1" s="1"/>
  <c r="E47" i="1"/>
  <c r="E49" i="1" s="1"/>
  <c r="F41" i="1"/>
  <c r="F35" i="1"/>
  <c r="F39" i="1" s="1"/>
  <c r="H30" i="1"/>
  <c r="H23" i="1"/>
  <c r="G11" i="1"/>
  <c r="G15" i="1" s="1"/>
  <c r="H18" i="1" s="1"/>
  <c r="H32" i="1" l="1"/>
</calcChain>
</file>

<file path=xl/sharedStrings.xml><?xml version="1.0" encoding="utf-8"?>
<sst xmlns="http://schemas.openxmlformats.org/spreadsheetml/2006/main" count="609" uniqueCount="373">
  <si>
    <t>Question</t>
  </si>
  <si>
    <t>Expected response(s)</t>
  </si>
  <si>
    <t>Max mark</t>
  </si>
  <si>
    <t>Additional guidance</t>
  </si>
  <si>
    <t>1.</t>
  </si>
  <si>
    <t>(a)</t>
  </si>
  <si>
    <t>Statement of Cash Flows for Ontario plc for the year ended 31 December Year 5</t>
  </si>
  <si>
    <t>Calculation</t>
  </si>
  <si>
    <t>Entry</t>
  </si>
  <si>
    <t>CASH FLOWS FROM OPERATING ACTIVITIES</t>
  </si>
  <si>
    <t>£000</t>
  </si>
  <si>
    <t>Marks</t>
  </si>
  <si>
    <t>Operating profit</t>
  </si>
  <si>
    <t>(5)</t>
  </si>
  <si>
    <t>(1)</t>
  </si>
  <si>
    <t>Must be correct effect for entry marks to be awarded.</t>
  </si>
  <si>
    <t>Adjustments for:</t>
  </si>
  <si>
    <t xml:space="preserve"> +/- rule applies for repeated entries.</t>
  </si>
  <si>
    <t>Depreciation</t>
  </si>
  <si>
    <t>See below for detailed workings.</t>
  </si>
  <si>
    <t>Loss on sale of assets</t>
  </si>
  <si>
    <t>(3)</t>
  </si>
  <si>
    <t>Profit on sale of assets</t>
  </si>
  <si>
    <t>(2)</t>
  </si>
  <si>
    <t>Operating cash flow before working equity changes</t>
  </si>
  <si>
    <t>Increase in inventory</t>
  </si>
  <si>
    <t>Decrease in trade receivables</t>
  </si>
  <si>
    <t>Increase in trade payables</t>
  </si>
  <si>
    <t>Cash generated from operations</t>
  </si>
  <si>
    <t>Tax paid</t>
  </si>
  <si>
    <t>Debenture finance cost paid</t>
  </si>
  <si>
    <t>Net cash from operating activities</t>
  </si>
  <si>
    <t>CASH FLOWS FROM INVESTING ACTIVITIES</t>
  </si>
  <si>
    <t>Proceeds from sale of non-current assets</t>
  </si>
  <si>
    <t>Purchase of non-current assets</t>
  </si>
  <si>
    <t>Net cash used in investing activities</t>
  </si>
  <si>
    <t>CASH FLOWS FROM FINANCING ACTIVITIES</t>
  </si>
  <si>
    <t>Debenture issue</t>
  </si>
  <si>
    <t>Share issue</t>
  </si>
  <si>
    <t>Share premium</t>
  </si>
  <si>
    <t>Share issue and premium can be combined for 4 marks (90)</t>
  </si>
  <si>
    <t>Dividend paid</t>
  </si>
  <si>
    <t>Net cash used in financing activities</t>
  </si>
  <si>
    <t>Net increase in cash equivalents</t>
  </si>
  <si>
    <r>
      <rPr>
        <b/>
        <sz val="11"/>
        <color rgb="FF000000"/>
        <rFont val="Trebuchet MS"/>
      </rPr>
      <t>2 marks</t>
    </r>
    <r>
      <rPr>
        <sz val="11"/>
        <color rgb="FF000000"/>
        <rFont val="Trebuchet MS"/>
      </rPr>
      <t xml:space="preserve"> for arithmetic - award </t>
    </r>
    <r>
      <rPr>
        <b/>
        <sz val="11"/>
        <color rgb="FF000000"/>
        <rFont val="Trebuchet MS"/>
      </rPr>
      <t>1 mark</t>
    </r>
    <r>
      <rPr>
        <sz val="11"/>
        <color rgb="FF000000"/>
        <rFont val="Trebuchet MS"/>
      </rPr>
      <t xml:space="preserve"> if one arithmetic error</t>
    </r>
  </si>
  <si>
    <t>Workings:</t>
  </si>
  <si>
    <t>Operating Profit</t>
  </si>
  <si>
    <t>Retained earnings (620 - 360)</t>
  </si>
  <si>
    <t>Debenture finance cost (15 + 3)</t>
  </si>
  <si>
    <r>
      <t xml:space="preserve">(150 x 10%)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+ ((210-150) x 10%</t>
    </r>
    <r>
      <rPr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/2</t>
    </r>
    <r>
      <rPr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>)</t>
    </r>
  </si>
  <si>
    <t>Corporation tax</t>
  </si>
  <si>
    <t>Ordinary dividend</t>
  </si>
  <si>
    <t>Non-cash adjustments</t>
  </si>
  <si>
    <t>Depreciation (90 + 30)</t>
  </si>
  <si>
    <t>Profit/Loss on sale of assets</t>
  </si>
  <si>
    <t>Land/Property</t>
  </si>
  <si>
    <t>Machinery</t>
  </si>
  <si>
    <t>Equipment</t>
  </si>
  <si>
    <t>Cost of assets sold</t>
  </si>
  <si>
    <t>Less Depr on disposal</t>
  </si>
  <si>
    <r>
      <rPr>
        <b/>
        <sz val="11"/>
        <color rgb="FF000000"/>
        <rFont val="Trebuchet MS"/>
      </rPr>
      <t>1 mark</t>
    </r>
    <r>
      <rPr>
        <sz val="11"/>
        <color rgb="FF000000"/>
        <rFont val="Trebuchet MS"/>
      </rPr>
      <t xml:space="preserve"> for depn on disposal line</t>
    </r>
  </si>
  <si>
    <t>NBV</t>
  </si>
  <si>
    <t>1 mark for NBV line</t>
  </si>
  <si>
    <t>Cash received</t>
  </si>
  <si>
    <t>Profit/Loss</t>
  </si>
  <si>
    <r>
      <rPr>
        <b/>
        <sz val="11"/>
        <color rgb="FF000000"/>
        <rFont val="Trebuchet MS"/>
      </rPr>
      <t>1 mark</t>
    </r>
    <r>
      <rPr>
        <sz val="11"/>
        <color rgb="FF000000"/>
        <rFont val="Trebuchet MS"/>
      </rPr>
      <t xml:space="preserve"> for each Profit/Loss</t>
    </r>
  </si>
  <si>
    <t>Debenture finance cost paid (15 + 18 - 18)</t>
  </si>
  <si>
    <r>
      <rPr>
        <b/>
        <sz val="11"/>
        <color rgb="FF000000"/>
        <rFont val="Trebuchet MS"/>
      </rPr>
      <t>1 mark</t>
    </r>
    <r>
      <rPr>
        <sz val="11"/>
        <color rgb="FF000000"/>
        <rFont val="Trebuchet MS"/>
      </rPr>
      <t xml:space="preserve"> for 15 + 18, 1 mark for - 18</t>
    </r>
  </si>
  <si>
    <t>Tax paid (25 + 50 - 20)</t>
  </si>
  <si>
    <r>
      <rPr>
        <b/>
        <sz val="11"/>
        <color rgb="FF000000"/>
        <rFont val="Trebuchet MS"/>
      </rPr>
      <t>1 mark</t>
    </r>
    <r>
      <rPr>
        <sz val="11"/>
        <color rgb="FF000000"/>
        <rFont val="Trebuchet MS"/>
      </rPr>
      <t xml:space="preserve"> for 25 + 20, 1 mark for - 20</t>
    </r>
  </si>
  <si>
    <t>(b)</t>
  </si>
  <si>
    <r>
      <t xml:space="preserve">Legal requirement. </t>
    </r>
    <r>
      <rPr>
        <b/>
        <sz val="11"/>
        <color rgb="FFFF0000"/>
        <rFont val="Trebuchet MS"/>
        <family val="2"/>
      </rPr>
      <t>(1)</t>
    </r>
  </si>
  <si>
    <r>
      <rPr>
        <b/>
        <sz val="11"/>
        <color rgb="FF000000"/>
        <rFont val="Trebuchet MS"/>
      </rPr>
      <t>1 mark</t>
    </r>
    <r>
      <rPr>
        <sz val="11"/>
        <color rgb="FF000000"/>
        <rFont val="Trebuchet MS"/>
      </rPr>
      <t xml:space="preserve"> for each valid justification x 3</t>
    </r>
  </si>
  <si>
    <r>
      <t xml:space="preserve">The purpose of a Cash Flow Statement is to show the actual movements of cash into and out of the company during the accounting period.  </t>
    </r>
    <r>
      <rPr>
        <b/>
        <sz val="11"/>
        <color rgb="FFFF0000"/>
        <rFont val="Trebuchet MS"/>
        <family val="2"/>
      </rPr>
      <t>(1)</t>
    </r>
  </si>
  <si>
    <r>
      <t xml:space="preserve">Explains the financial changes in a business during an accounting period. </t>
    </r>
    <r>
      <rPr>
        <b/>
        <sz val="11"/>
        <color rgb="FFFF0000"/>
        <rFont val="Trebuchet MS"/>
        <family val="2"/>
      </rPr>
      <t>(1)</t>
    </r>
  </si>
  <si>
    <r>
      <t xml:space="preserve">Shows how funds available to the business were generated and how they were spent. </t>
    </r>
    <r>
      <rPr>
        <b/>
        <sz val="11"/>
        <color rgb="FFFF0000"/>
        <rFont val="Trebuchet MS"/>
        <family val="2"/>
      </rPr>
      <t>(1)</t>
    </r>
  </si>
  <si>
    <r>
      <t>Highlights the relationship between profitability and cash generating ability.</t>
    </r>
    <r>
      <rPr>
        <b/>
        <sz val="11"/>
        <color rgb="FFFF0000"/>
        <rFont val="Trebuchet MS"/>
        <family val="2"/>
      </rPr>
      <t xml:space="preserve"> (1)</t>
    </r>
  </si>
  <si>
    <r>
      <t>Shows the true liquidity of the business organisation.</t>
    </r>
    <r>
      <rPr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</si>
  <si>
    <r>
      <t>Can be used as a basis of projecting what will happen to cash balances in future financial periods.</t>
    </r>
    <r>
      <rPr>
        <b/>
        <sz val="11"/>
        <color rgb="FFFF0000"/>
        <rFont val="Trebuchet MS"/>
        <family val="2"/>
      </rPr>
      <t xml:space="preserve"> (1)</t>
    </r>
  </si>
  <si>
    <r>
      <t xml:space="preserve">Aids ratio analysis (liquidity) as it illustrates how changes have occurred in working equity. </t>
    </r>
    <r>
      <rPr>
        <b/>
        <sz val="11"/>
        <color rgb="FFFF0000"/>
        <rFont val="Trebuchet MS"/>
        <family val="2"/>
      </rPr>
      <t>(1)</t>
    </r>
  </si>
  <si>
    <t>2A</t>
  </si>
  <si>
    <t>Arno plc</t>
  </si>
  <si>
    <t>Production level</t>
  </si>
  <si>
    <r>
      <t>(3 × 0.5)</t>
    </r>
    <r>
      <rPr>
        <vertAlign val="superscript"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+ (2 × 0.75) </t>
    </r>
    <r>
      <rPr>
        <b/>
        <sz val="11"/>
        <color rgb="FFFF0000"/>
        <rFont val="Trebuchet MS"/>
        <family val="2"/>
      </rPr>
      <t>(1 mark for both)</t>
    </r>
    <r>
      <rPr>
        <b/>
        <vertAlign val="superscript"/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+ (20 × 0.10) </t>
    </r>
    <r>
      <rPr>
        <b/>
        <sz val="11"/>
        <color rgb="FFFF0000"/>
        <rFont val="Trebuchet MS"/>
        <family val="2"/>
      </rPr>
      <t>(1)</t>
    </r>
  </si>
  <si>
    <t>Units</t>
  </si>
  <si>
    <r>
      <t xml:space="preserve">Award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mark for both material totals</t>
    </r>
  </si>
  <si>
    <t>CASH OUTFLOW</t>
  </si>
  <si>
    <t>Materials</t>
  </si>
  <si>
    <t>*</t>
  </si>
  <si>
    <r>
      <t xml:space="preserve">(3 × 12.50) </t>
    </r>
    <r>
      <rPr>
        <b/>
        <sz val="11"/>
        <color rgb="FFFF0000"/>
        <rFont val="Trebuchet MS"/>
        <family val="2"/>
      </rPr>
      <t>(1)</t>
    </r>
    <r>
      <rPr>
        <vertAlign val="superscript"/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+ (0.5 × 15)</t>
    </r>
    <r>
      <rPr>
        <vertAlign val="superscript"/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</si>
  <si>
    <t>Labour</t>
  </si>
  <si>
    <t>**</t>
  </si>
  <si>
    <r>
      <t xml:space="preserve">Award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mark for both labour totals</t>
    </r>
  </si>
  <si>
    <t>Overheads</t>
  </si>
  <si>
    <t>***</t>
  </si>
  <si>
    <t>(4)</t>
  </si>
  <si>
    <t>Prime Cost</t>
  </si>
  <si>
    <t xml:space="preserve"> </t>
  </si>
  <si>
    <t>Process 1 80%</t>
  </si>
  <si>
    <t>Rent and Rates</t>
  </si>
  <si>
    <t>(1.25 × 5)</t>
  </si>
  <si>
    <t>Insurance</t>
  </si>
  <si>
    <r>
      <t xml:space="preserve">(6.25 × 20,000) = 125,000 </t>
    </r>
    <r>
      <rPr>
        <b/>
        <sz val="11"/>
        <color rgb="FFFF0000"/>
        <rFont val="Trebuchet MS"/>
        <family val="2"/>
      </rPr>
      <t>(1)</t>
    </r>
  </si>
  <si>
    <t>Power – fixed</t>
  </si>
  <si>
    <t>Power – variable</t>
  </si>
  <si>
    <t>Process 2 80%</t>
  </si>
  <si>
    <t>Other prod oh – fix</t>
  </si>
  <si>
    <t>7.50 × 20,000</t>
  </si>
  <si>
    <t>Other prod oh - var</t>
  </si>
  <si>
    <t>(2) 1 mark each</t>
  </si>
  <si>
    <r>
      <t xml:space="preserve">150,000 × 60% = 90,000 </t>
    </r>
    <r>
      <rPr>
        <b/>
        <sz val="11"/>
        <color rgb="FFFF0000"/>
        <rFont val="Trebuchet MS"/>
        <family val="2"/>
      </rPr>
      <t>(1)</t>
    </r>
  </si>
  <si>
    <t>Process 1 100%</t>
  </si>
  <si>
    <t>Total</t>
  </si>
  <si>
    <r>
      <t xml:space="preserve">6.50 × 25,000 = 162,500 </t>
    </r>
    <r>
      <rPr>
        <b/>
        <sz val="11"/>
        <color rgb="FFFF0000"/>
        <rFont val="Trebuchet MS"/>
        <family val="2"/>
      </rPr>
      <t>(1)</t>
    </r>
  </si>
  <si>
    <t>CASH INFLOW</t>
  </si>
  <si>
    <t>Sales</t>
  </si>
  <si>
    <t>Process 2 100%</t>
  </si>
  <si>
    <t>7.50 × 25,000</t>
  </si>
  <si>
    <t>NET CASHFLOW</t>
  </si>
  <si>
    <r>
      <t xml:space="preserve">187,500 × 60% = 112,500 </t>
    </r>
    <r>
      <rPr>
        <b/>
        <sz val="11"/>
        <color rgb="FFFF0000"/>
        <rFont val="Trebuchet MS"/>
        <family val="2"/>
      </rPr>
      <t>(1)</t>
    </r>
  </si>
  <si>
    <t>If Prime Cost is calculated wrongly DNA 80% Other prod OH mark and award the 100% consequentially.</t>
  </si>
  <si>
    <t>2B</t>
  </si>
  <si>
    <t>Findlay plc</t>
  </si>
  <si>
    <t xml:space="preserve">Standard Cost of Actual Sales </t>
  </si>
  <si>
    <t>£</t>
  </si>
  <si>
    <t xml:space="preserve">Materials </t>
  </si>
  <si>
    <t>(7 x 5 x 5,425)</t>
  </si>
  <si>
    <t xml:space="preserve">(1) </t>
  </si>
  <si>
    <t xml:space="preserve">Labour </t>
  </si>
  <si>
    <t>(4 × 8 × 5,425)</t>
  </si>
  <si>
    <t xml:space="preserve">Variable Overhead </t>
  </si>
  <si>
    <t xml:space="preserve">(40% × 173,600) </t>
  </si>
  <si>
    <t>((8 × 4) × 5425) × 40% = 173,600</t>
  </si>
  <si>
    <t xml:space="preserve">Fixed Overhead </t>
  </si>
  <si>
    <t>(5,425 × 12)</t>
  </si>
  <si>
    <t>(i)</t>
  </si>
  <si>
    <t>Material Price</t>
  </si>
  <si>
    <r>
      <t xml:space="preserve">(5.00 − (195,300/43,400))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× 43,400</t>
    </r>
  </si>
  <si>
    <t>Award correct identification of A or F.</t>
  </si>
  <si>
    <r>
      <t xml:space="preserve">= (5.00 − 4.50) × 43,400 </t>
    </r>
    <r>
      <rPr>
        <b/>
        <sz val="11"/>
        <color rgb="FFFF0000"/>
        <rFont val="Trebuchet MS"/>
        <family val="2"/>
      </rPr>
      <t>(1)</t>
    </r>
  </si>
  <si>
    <t xml:space="preserve">    </t>
  </si>
  <si>
    <r>
      <t xml:space="preserve">F </t>
    </r>
    <r>
      <rPr>
        <b/>
        <sz val="11"/>
        <color rgb="FFFF0000"/>
        <rFont val="Trebuchet MS"/>
        <family val="2"/>
      </rPr>
      <t>(1)</t>
    </r>
  </si>
  <si>
    <t>(ii)</t>
  </si>
  <si>
    <t>Material Usage</t>
  </si>
  <si>
    <r>
      <t xml:space="preserve">((5,425 × 7) − 43,400) × 5 </t>
    </r>
    <r>
      <rPr>
        <b/>
        <sz val="11"/>
        <color rgb="FFFF0000"/>
        <rFont val="Trebuchet MS"/>
        <family val="2"/>
      </rPr>
      <t>(1)</t>
    </r>
  </si>
  <si>
    <t>= (37,975 − 43,400) × 5</t>
  </si>
  <si>
    <r>
      <t xml:space="preserve">A </t>
    </r>
    <r>
      <rPr>
        <b/>
        <sz val="11"/>
        <color rgb="FFFF0000"/>
        <rFont val="Trebuchet MS"/>
        <family val="2"/>
      </rPr>
      <t>(1)</t>
    </r>
  </si>
  <si>
    <t>(iii)</t>
  </si>
  <si>
    <t>Labour Rate</t>
  </si>
  <si>
    <r>
      <t xml:space="preserve">(8 − (189,875/27,125))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× 27,125</t>
    </r>
  </si>
  <si>
    <r>
      <t xml:space="preserve">= (8 − 7) × 27,125 </t>
    </r>
    <r>
      <rPr>
        <b/>
        <sz val="11"/>
        <color rgb="FFFF0000"/>
        <rFont val="Trebuchet MS"/>
        <family val="2"/>
      </rPr>
      <t>(1)</t>
    </r>
  </si>
  <si>
    <t>(iv)</t>
  </si>
  <si>
    <t xml:space="preserve">Labour Efficiency </t>
  </si>
  <si>
    <r>
      <t xml:space="preserve">((4 × 5,425) − 27,125) × 8 </t>
    </r>
    <r>
      <rPr>
        <b/>
        <sz val="11"/>
        <color rgb="FFFF0000"/>
        <rFont val="Trebuchet MS"/>
        <family val="2"/>
      </rPr>
      <t>(1)</t>
    </r>
  </si>
  <si>
    <t>(v)</t>
  </si>
  <si>
    <t xml:space="preserve">Sales Price </t>
  </si>
  <si>
    <r>
      <t xml:space="preserve">(210 − 200) × 5,425 </t>
    </r>
    <r>
      <rPr>
        <b/>
        <sz val="11"/>
        <color rgb="FFFF0000"/>
        <rFont val="Trebuchet MS"/>
        <family val="2"/>
      </rPr>
      <t>(1)</t>
    </r>
  </si>
  <si>
    <t>(vi)</t>
  </si>
  <si>
    <t>Sales Volume</t>
  </si>
  <si>
    <r>
      <t xml:space="preserve">(5,425 − 5,500) × 200 </t>
    </r>
    <r>
      <rPr>
        <b/>
        <sz val="11"/>
        <color rgb="FFFF0000"/>
        <rFont val="Trebuchet MS"/>
        <family val="2"/>
      </rPr>
      <t>(1)</t>
    </r>
  </si>
  <si>
    <t>(vii)</t>
  </si>
  <si>
    <t xml:space="preserve">Fixed OH Expenditure </t>
  </si>
  <si>
    <r>
      <t xml:space="preserve">(5500 × 12) − 70,525 </t>
    </r>
    <r>
      <rPr>
        <b/>
        <sz val="11"/>
        <color rgb="FFFF0000"/>
        <rFont val="Trebuchet MS"/>
        <family val="2"/>
      </rPr>
      <t>(1)</t>
    </r>
  </si>
  <si>
    <r>
      <t>C1 (4 × 1,200)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</si>
  <si>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(1)</t>
    </r>
    <r>
      <rPr>
        <sz val="11"/>
        <color rgb="FFFF0000"/>
        <rFont val="Arial"/>
        <family val="2"/>
      </rPr>
      <t> </t>
    </r>
    <r>
      <rPr>
        <sz val="11"/>
        <color rgb="FFFF0000"/>
        <rFont val="Trebuchet MS"/>
        <family val="2"/>
      </rPr>
      <t> </t>
    </r>
  </si>
  <si>
    <r>
      <t> </t>
    </r>
    <r>
      <rPr>
        <sz val="11"/>
        <color theme="1"/>
        <rFont val="Trebuchet MS"/>
        <family val="2"/>
      </rPr>
      <t> </t>
    </r>
  </si>
  <si>
    <r>
      <t>C2 (3 × 800)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</si>
  <si>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(1)</t>
    </r>
    <r>
      <rPr>
        <b/>
        <sz val="11"/>
        <color rgb="FFFF0000"/>
        <rFont val="Arial"/>
        <family val="2"/>
      </rPr>
      <t> </t>
    </r>
  </si>
  <si>
    <t> </t>
  </si>
  <si>
    <r>
      <t>C3 (2 × 400)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</si>
  <si>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t>Machine hour absorption rate – 32,000/8,000</t>
  </si>
  <si>
    <t>per machine hour</t>
  </si>
  <si>
    <r>
      <t>(1)</t>
    </r>
    <r>
      <rPr>
        <b/>
        <sz val="11"/>
        <color rgb="FFFF0000"/>
        <rFont val="Arial"/>
        <family val="2"/>
      </rPr>
      <t> </t>
    </r>
    <r>
      <rPr>
        <b/>
        <sz val="11"/>
        <color rgb="FFFF0000"/>
        <rFont val="Trebuchet MS"/>
        <family val="2"/>
      </rPr>
      <t> </t>
    </r>
  </si>
  <si>
    <t>4</t>
  </si>
  <si>
    <r>
      <t>C1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</si>
  <si>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C2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</si>
  <si>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C3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</si>
  <si>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Direct material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</si>
  <si>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Direct labour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</si>
  <si>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Production overhead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</si>
  <si>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Cost per unit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</si>
  <si>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Cost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</si>
  <si>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Driver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</si>
  <si>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Transactions</t>
    </r>
    <r>
      <rPr>
        <sz val="11"/>
        <color theme="1"/>
        <rFont val="Arial"/>
        <family val="2"/>
      </rPr>
      <t> </t>
    </r>
  </si>
  <si>
    <r>
      <t>Cost per driver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</si>
  <si>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Machining costs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</si>
  <si>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Mc hours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</si>
  <si>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Set-up costs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</si>
  <si>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Runs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</si>
  <si>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Receiving costs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</si>
  <si>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Requisitions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</si>
  <si>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Inspection costs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</si>
  <si>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Despatch costs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</si>
  <si>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Orders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</si>
  <si>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t>*(1)</t>
  </si>
  <si>
    <r>
      <t>  </t>
    </r>
    <r>
      <rPr>
        <sz val="11"/>
        <color theme="1"/>
        <rFont val="Trebuchet MS"/>
        <family val="2"/>
      </rPr>
      <t> </t>
    </r>
  </si>
  <si>
    <r>
      <t>Machine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</si>
  <si>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t>(1) </t>
  </si>
  <si>
    <r>
      <t> </t>
    </r>
    <r>
      <rPr>
        <b/>
        <sz val="11"/>
        <color rgb="FFFF0000"/>
        <rFont val="Trebuchet MS"/>
        <family val="2"/>
      </rPr>
      <t>(1)</t>
    </r>
    <r>
      <rPr>
        <b/>
        <sz val="11"/>
        <color rgb="FFFF0000"/>
        <rFont val="Arial"/>
        <family val="2"/>
      </rPr>
      <t> </t>
    </r>
    <r>
      <rPr>
        <b/>
        <sz val="11"/>
        <color rgb="FFFF0000"/>
        <rFont val="Trebuchet MS"/>
        <family val="2"/>
      </rPr>
      <t> </t>
    </r>
  </si>
  <si>
    <r>
      <t>Set-up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</si>
  <si>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 </t>
    </r>
    <r>
      <rPr>
        <b/>
        <sz val="11"/>
        <color rgb="FFFF0000"/>
        <rFont val="Trebuchet MS"/>
        <family val="2"/>
      </rPr>
      <t>(1) </t>
    </r>
  </si>
  <si>
    <r>
      <t>Receiving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</si>
  <si>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t>Watch for rounding </t>
  </si>
  <si>
    <r>
      <t>Inspection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</si>
  <si>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Despatch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</si>
  <si>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# If Total cost per unit not totalled/shown, do not award direct cost line or final mark earned if no direct costs entered.</t>
    </r>
    <r>
      <rPr>
        <sz val="11"/>
        <color theme="1"/>
        <rFont val="Arial"/>
        <family val="2"/>
      </rPr>
      <t> </t>
    </r>
  </si>
  <si>
    <r>
      <t>Materials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</si>
  <si>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 xml:space="preserve">  (1)</t>
    </r>
    <r>
      <rPr>
        <sz val="11"/>
        <color theme="1"/>
        <rFont val="Trebuchet MS"/>
        <family val="2"/>
      </rPr>
      <t>*</t>
    </r>
  </si>
  <si>
    <r>
      <t>Labour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</si>
  <si>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Total cost per unit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</si>
  <si>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>(1)</t>
    </r>
    <r>
      <rPr>
        <sz val="11"/>
        <color theme="1"/>
        <rFont val="Trebuchet MS"/>
        <family val="2"/>
      </rPr>
      <t># Line</t>
    </r>
    <r>
      <rPr>
        <sz val="11"/>
        <color theme="1"/>
        <rFont val="Arial"/>
        <family val="2"/>
      </rPr>
      <t>  </t>
    </r>
    <r>
      <rPr>
        <sz val="11"/>
        <color theme="1"/>
        <rFont val="Trebuchet MS"/>
        <family val="2"/>
      </rPr>
      <t> </t>
    </r>
  </si>
  <si>
    <t>(c)</t>
  </si>
  <si>
    <r>
      <t xml:space="preserve">ABC creates new bases for assigning overhead costs to items, so costs are allocated based on the activities that generate costs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</si>
  <si>
    <r>
      <t xml:space="preserve">ABC provides a clearer understanding of the relationship between costs, activities, and profitability. </t>
    </r>
    <r>
      <rPr>
        <b/>
        <sz val="11"/>
        <color rgb="FFFF0000"/>
        <rFont val="Trebuchet MS"/>
        <family val="2"/>
      </rPr>
      <t>(1)</t>
    </r>
  </si>
  <si>
    <r>
      <t xml:space="preserve">It is more straightforward to apply than traditional methods when production consists of a wide variety of different products and processes. </t>
    </r>
    <r>
      <rPr>
        <b/>
        <sz val="11"/>
        <color rgb="FFFF0000"/>
        <rFont val="Trebuchet MS"/>
        <family val="2"/>
      </rPr>
      <t>(1)</t>
    </r>
  </si>
  <si>
    <r>
      <t xml:space="preserve">It is more accurate than traditional methods as it bases the costs on the number of times a cost driver is used per unit of production. </t>
    </r>
    <r>
      <rPr>
        <b/>
        <sz val="11"/>
        <color rgb="FFFF0000"/>
        <rFont val="Trebuchet MS"/>
        <family val="2"/>
      </rPr>
      <t>(1)</t>
    </r>
  </si>
  <si>
    <r>
      <t xml:space="preserve">The adjustment for over/under absorption of fixed costs is not required. </t>
    </r>
    <r>
      <rPr>
        <b/>
        <sz val="11"/>
        <color rgb="FFFF0000"/>
        <rFont val="Trebuchet MS"/>
        <family val="2"/>
      </rPr>
      <t>(1)</t>
    </r>
  </si>
  <si>
    <r>
      <t xml:space="preserve">Useful for management and pricing policies. </t>
    </r>
    <r>
      <rPr>
        <b/>
        <sz val="11"/>
        <color rgb="FFFF0000"/>
        <rFont val="Trebuchet MS"/>
        <family val="2"/>
      </rPr>
      <t>(1)</t>
    </r>
  </si>
  <si>
    <r>
      <t xml:space="preserve">Easier to understand than absorption costing methods. </t>
    </r>
    <r>
      <rPr>
        <b/>
        <sz val="11"/>
        <color rgb="FFFF0000"/>
        <rFont val="Trebuchet MS"/>
        <family val="2"/>
      </rPr>
      <t>(1)</t>
    </r>
  </si>
  <si>
    <r>
      <t xml:space="preserve">Unit cost does not vary with level of activity as with absorption of fixed costs. </t>
    </r>
    <r>
      <rPr>
        <b/>
        <sz val="11"/>
        <color rgb="FFFF0000"/>
        <rFont val="Trebuchet MS"/>
        <family val="2"/>
      </rPr>
      <t>(1)</t>
    </r>
  </si>
  <si>
    <r>
      <t xml:space="preserve">Improved cost control: Marginal costing helps businesses identify and manage cost fluctuations by focusing on variable costs, which are more controllable in the short term. </t>
    </r>
    <r>
      <rPr>
        <b/>
        <sz val="11"/>
        <color rgb="FFFF0000"/>
        <rFont val="Trebuchet MS"/>
        <family val="2"/>
      </rPr>
      <t>(1)</t>
    </r>
  </si>
  <si>
    <r>
      <t xml:space="preserve">It works out contribution which is a good basis for short-term decisions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eg whether to accept a special order or not, make or buy decisions, what product mix to produce. </t>
    </r>
    <r>
      <rPr>
        <b/>
        <sz val="11"/>
        <color rgb="FFFF0000"/>
        <rFont val="Trebuchet MS"/>
        <family val="2"/>
      </rPr>
      <t>(1)</t>
    </r>
  </si>
  <si>
    <t>4A</t>
  </si>
  <si>
    <t>Cost of sales</t>
  </si>
  <si>
    <t>Opening inventory</t>
  </si>
  <si>
    <t>Add purchases</t>
  </si>
  <si>
    <t>See working notes for breakdown of marks for wages, operating expenses, and depreciation of non-current assets</t>
  </si>
  <si>
    <t>Add carriage inwards</t>
  </si>
  <si>
    <t xml:space="preserve">Less closing inventory                                       </t>
  </si>
  <si>
    <r>
      <t>(1)</t>
    </r>
    <r>
      <rPr>
        <b/>
        <sz val="11"/>
        <rFont val="Trebuchet MS"/>
        <family val="2"/>
      </rPr>
      <t>**</t>
    </r>
  </si>
  <si>
    <t>Depreciation of plant and machinery</t>
  </si>
  <si>
    <t>#</t>
  </si>
  <si>
    <t>Wages and salaries</t>
  </si>
  <si>
    <t>^</t>
  </si>
  <si>
    <t>Distribution costs</t>
  </si>
  <si>
    <t>Operating expenses</t>
  </si>
  <si>
    <t>@</t>
  </si>
  <si>
    <t>Depreciation plant and machinery</t>
  </si>
  <si>
    <t>Depreciation vehicles</t>
  </si>
  <si>
    <t>-</t>
  </si>
  <si>
    <t>Administration expenses</t>
  </si>
  <si>
    <t xml:space="preserve">Wages and salaries </t>
  </si>
  <si>
    <r>
      <t xml:space="preserve">^ </t>
    </r>
    <r>
      <rPr>
        <b/>
        <sz val="11"/>
        <color rgb="FFFF0000"/>
        <rFont val="Trebuchet MS"/>
        <family val="2"/>
      </rPr>
      <t>(1)</t>
    </r>
  </si>
  <si>
    <t xml:space="preserve">Operating expenses </t>
  </si>
  <si>
    <r>
      <t xml:space="preserve"> @ </t>
    </r>
    <r>
      <rPr>
        <b/>
        <sz val="11"/>
        <color rgb="FFFF0000"/>
        <rFont val="Trebuchet MS"/>
        <family val="2"/>
      </rPr>
      <t>(2)</t>
    </r>
  </si>
  <si>
    <t xml:space="preserve">Depreciation plant and Machinery   </t>
  </si>
  <si>
    <r>
      <t xml:space="preserve"># </t>
    </r>
    <r>
      <rPr>
        <b/>
        <sz val="11"/>
        <color rgb="FFFF0000"/>
        <rFont val="Trebuchet MS"/>
        <family val="2"/>
      </rPr>
      <t>(2)</t>
    </r>
  </si>
  <si>
    <t xml:space="preserve">Depreciation vehicles   </t>
  </si>
  <si>
    <r>
      <t xml:space="preserve"> - </t>
    </r>
    <r>
      <rPr>
        <b/>
        <sz val="11"/>
        <color rgb="FFFF0000"/>
        <rFont val="Trebuchet MS"/>
        <family val="2"/>
      </rPr>
      <t>(2)</t>
    </r>
  </si>
  <si>
    <t xml:space="preserve">Auditors’ fees  </t>
  </si>
  <si>
    <r>
      <t xml:space="preserve">   </t>
    </r>
    <r>
      <rPr>
        <b/>
        <sz val="11"/>
        <color theme="1"/>
        <rFont val="Trebuchet MS"/>
        <family val="2"/>
      </rPr>
      <t>***</t>
    </r>
    <r>
      <rPr>
        <b/>
        <sz val="11"/>
        <color rgb="FFFF0000"/>
        <rFont val="Trebuchet MS"/>
        <family val="2"/>
      </rPr>
      <t>(1)</t>
    </r>
  </si>
  <si>
    <t xml:space="preserve">Directors’ Fees   </t>
  </si>
  <si>
    <t xml:space="preserve">Discounts (net) </t>
  </si>
  <si>
    <t xml:space="preserve">Working notes </t>
  </si>
  <si>
    <r>
      <t>^ Wages and Salaries</t>
    </r>
    <r>
      <rPr>
        <sz val="11"/>
        <color theme="1"/>
        <rFont val="Trebuchet MS"/>
        <family val="2"/>
      </rPr>
      <t xml:space="preserve"> </t>
    </r>
  </si>
  <si>
    <t>COS (20%):</t>
  </si>
  <si>
    <t xml:space="preserve">ADMIN (30%): </t>
  </si>
  <si>
    <t xml:space="preserve">DIST (50%): </t>
  </si>
  <si>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for all 3 correctly entered</t>
    </r>
  </si>
  <si>
    <t>@ Operating expenses</t>
  </si>
  <si>
    <t>Less prepaid</t>
  </si>
  <si>
    <t>ADMIN (30%):</t>
  </si>
  <si>
    <t xml:space="preserve">DIST (70%): </t>
  </si>
  <si>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for both correctly entered</t>
    </r>
  </si>
  <si>
    <t># Depreciation Plant and Machinery</t>
  </si>
  <si>
    <t>Cost</t>
  </si>
  <si>
    <t>Depreciation @ 15%</t>
  </si>
  <si>
    <r>
      <t xml:space="preserve">(1) </t>
    </r>
    <r>
      <rPr>
        <sz val="11"/>
        <color theme="1"/>
        <rFont val="Trebuchet MS"/>
        <family val="2"/>
      </rPr>
      <t>for calculation</t>
    </r>
  </si>
  <si>
    <t xml:space="preserve">COS (70%): </t>
  </si>
  <si>
    <t xml:space="preserve">DIST (20%): </t>
  </si>
  <si>
    <t xml:space="preserve">ADMIN (10%): </t>
  </si>
  <si>
    <t xml:space="preserve"> - Depreciation Vehicles</t>
  </si>
  <si>
    <t>Depreciation to date</t>
  </si>
  <si>
    <t>Depreciation @ 20%</t>
  </si>
  <si>
    <t>DIST (90%):</t>
  </si>
  <si>
    <t>ADMIN (10%):</t>
  </si>
  <si>
    <t>ALTERNATIVE LAYOUT</t>
  </si>
  <si>
    <t>COS</t>
  </si>
  <si>
    <t>DIST</t>
  </si>
  <si>
    <t>ADMIN</t>
  </si>
  <si>
    <t>Opening Inventory</t>
  </si>
  <si>
    <t>add Purchases</t>
  </si>
  <si>
    <t>add Carriage In</t>
  </si>
  <si>
    <t>less Closing Inventory</t>
  </si>
  <si>
    <t>Wages and Salaries</t>
  </si>
  <si>
    <t>Operating Expenses</t>
  </si>
  <si>
    <t>Discounts (Net)</t>
  </si>
  <si>
    <t>Directors' Fees</t>
  </si>
  <si>
    <t>Auditors' Fees</t>
  </si>
  <si>
    <t>Depreciation: Plant &amp; Machinery</t>
  </si>
  <si>
    <t>Depreciation: Vehicles</t>
  </si>
  <si>
    <t>Income Statement of Duffy plc for year ending 31 December Year 2</t>
  </si>
  <si>
    <t>Sales revenue</t>
  </si>
  <si>
    <t>Gross profit                                                                15,230</t>
  </si>
  <si>
    <t>Distribution costs                                                         (7,388)</t>
  </si>
  <si>
    <r>
      <t xml:space="preserve">Administrative expenses                                               </t>
    </r>
    <r>
      <rPr>
        <u/>
        <sz val="11"/>
        <color rgb="FF221E1F"/>
        <rFont val="Trebuchet MS"/>
        <family val="2"/>
      </rPr>
      <t>(6,782)</t>
    </r>
  </si>
  <si>
    <t>Profit from operations</t>
  </si>
  <si>
    <t>Profit from operations must be labelled to gain mark.</t>
  </si>
  <si>
    <r>
      <t xml:space="preserve">Finance costs (net)                                                          </t>
    </r>
    <r>
      <rPr>
        <u/>
        <sz val="11"/>
        <color rgb="FF221E1F"/>
        <rFont val="Trebuchet MS"/>
        <family val="2"/>
      </rPr>
      <t>(150)</t>
    </r>
    <r>
      <rPr>
        <sz val="11"/>
        <color rgb="FF221E1F"/>
        <rFont val="Trebuchet MS"/>
        <family val="2"/>
      </rPr>
      <t>*</t>
    </r>
    <r>
      <rPr>
        <b/>
        <sz val="11"/>
        <color rgb="FFFF0000"/>
        <rFont val="Trebuchet MS"/>
        <family val="2"/>
      </rPr>
      <t>(2)</t>
    </r>
  </si>
  <si>
    <t>*(2)</t>
  </si>
  <si>
    <t xml:space="preserve">* Finance costs: </t>
  </si>
  <si>
    <t>Profit (loss) before tax                                                    910</t>
  </si>
  <si>
    <r>
      <t xml:space="preserve">Finance income: interest received £250 </t>
    </r>
    <r>
      <rPr>
        <b/>
        <sz val="11"/>
        <color rgb="FFFF0000"/>
        <rFont val="Trebuchet MS"/>
        <family val="2"/>
      </rPr>
      <t>(1)</t>
    </r>
  </si>
  <si>
    <r>
      <t xml:space="preserve">Tax                                                                                 (450) </t>
    </r>
    <r>
      <rPr>
        <b/>
        <sz val="11"/>
        <color rgb="FFFF0000"/>
        <rFont val="Trebuchet MS"/>
        <family val="2"/>
      </rPr>
      <t>(1)</t>
    </r>
  </si>
  <si>
    <r>
      <t xml:space="preserve">Finance expense: finance cost of debentures (£400) </t>
    </r>
    <r>
      <rPr>
        <b/>
        <sz val="11"/>
        <color rgb="FFFF0000"/>
        <rFont val="Trebuchet MS"/>
        <family val="2"/>
      </rPr>
      <t>(1)</t>
    </r>
  </si>
  <si>
    <r>
      <t xml:space="preserve">Profit for the Year                                                           460 </t>
    </r>
    <r>
      <rPr>
        <b/>
        <sz val="11"/>
        <color rgb="FFFF0000"/>
        <rFont val="Trebuchet MS"/>
        <family val="2"/>
      </rPr>
      <t xml:space="preserve">(1) </t>
    </r>
  </si>
  <si>
    <t xml:space="preserve">Labelled and no arithmetic errors </t>
  </si>
  <si>
    <t>4B</t>
  </si>
  <si>
    <t>OPTION A</t>
  </si>
  <si>
    <t>Year 0</t>
  </si>
  <si>
    <t>Year 1</t>
  </si>
  <si>
    <t>Year 2</t>
  </si>
  <si>
    <t>Year 3</t>
  </si>
  <si>
    <t>Depreciation Working:</t>
  </si>
  <si>
    <t>£million</t>
  </si>
  <si>
    <t>Dep (£14m × 20%) = £2.8m</t>
  </si>
  <si>
    <t>Capital Expenditure</t>
  </si>
  <si>
    <t>× 3 years = £8.4.m</t>
  </si>
  <si>
    <t>Initial Payment</t>
  </si>
  <si>
    <t>Residual: £14m − £8.4m</t>
  </si>
  <si>
    <t>Revenue</t>
  </si>
  <si>
    <t xml:space="preserve">             =£5.6m</t>
  </si>
  <si>
    <t>Operating costs</t>
  </si>
  <si>
    <t>OR</t>
  </si>
  <si>
    <t>Residual Value</t>
  </si>
  <si>
    <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calc</t>
    </r>
  </si>
  <si>
    <t>£14m × 40% = £5.6m</t>
  </si>
  <si>
    <t>Removal Fee</t>
  </si>
  <si>
    <t>Net cash flows</t>
  </si>
  <si>
    <t>Discount Factor</t>
  </si>
  <si>
    <t>Present Value</t>
  </si>
  <si>
    <t>NPV</t>
  </si>
  <si>
    <t>OPTION B</t>
  </si>
  <si>
    <r>
      <t>*</t>
    </r>
    <r>
      <rPr>
        <b/>
        <sz val="11"/>
        <color rgb="FFFF0000"/>
        <rFont val="Trebuchet MS"/>
        <family val="2"/>
      </rPr>
      <t>(1)</t>
    </r>
  </si>
  <si>
    <t>Workings</t>
  </si>
  <si>
    <r>
      <t xml:space="preserve">Option A: (2.8 + 5.6)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calc + 0.285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= </t>
    </r>
  </si>
  <si>
    <r>
      <t xml:space="preserve">Option B: (3.6 + 5.6)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+ 0.19 </t>
    </r>
    <r>
      <rPr>
        <b/>
        <sz val="11"/>
        <color rgb="FFFF0000"/>
        <rFont val="Trebuchet MS"/>
        <family val="2"/>
      </rPr>
      <t>(1)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=</t>
    </r>
  </si>
  <si>
    <r>
      <t>Option B as it has a higher NPV return.</t>
    </r>
    <r>
      <rPr>
        <b/>
        <sz val="11"/>
        <color rgb="FFFF0000"/>
        <rFont val="Trebuchet MS"/>
        <family val="2"/>
      </rPr>
      <t xml:space="preserve"> (1)</t>
    </r>
  </si>
  <si>
    <t>1.30 × 5</t>
  </si>
  <si>
    <r>
      <t>Award</t>
    </r>
    <r>
      <rPr>
        <b/>
        <sz val="11"/>
        <color theme="1"/>
        <rFont val="Trebuchet MS"/>
        <family val="2"/>
      </rPr>
      <t xml:space="preserve"> 2 marks</t>
    </r>
    <r>
      <rPr>
        <sz val="11"/>
        <color theme="1"/>
        <rFont val="Trebuchet MS"/>
        <family val="2"/>
      </rPr>
      <t xml:space="preserve"> for calculation. </t>
    </r>
  </si>
  <si>
    <r>
      <t xml:space="preserve">Award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variance. Accept A or F consequential to calculation.</t>
    </r>
  </si>
  <si>
    <r>
      <t xml:space="preserve">Award </t>
    </r>
    <r>
      <rPr>
        <b/>
        <sz val="11"/>
        <color theme="1"/>
        <rFont val="Trebuchet MS"/>
        <family val="2"/>
      </rPr>
      <t>2 marks</t>
    </r>
    <r>
      <rPr>
        <sz val="11"/>
        <color theme="1"/>
        <rFont val="Trebuchet MS"/>
        <family val="2"/>
      </rPr>
      <t xml:space="preserve"> for calculation. </t>
    </r>
  </si>
  <si>
    <r>
      <t>*</t>
    </r>
    <r>
      <rPr>
        <b/>
        <sz val="11"/>
        <color theme="1"/>
        <rFont val="Trebuchet MS"/>
        <family val="2"/>
      </rPr>
      <t>3 marks</t>
    </r>
    <r>
      <rPr>
        <sz val="11"/>
        <color theme="1"/>
        <rFont val="Trebuchet MS"/>
        <family val="2"/>
      </rPr>
      <t xml:space="preserve"> for material cost</t>
    </r>
  </si>
  <si>
    <r>
      <t>**</t>
    </r>
    <r>
      <rPr>
        <b/>
        <sz val="11"/>
        <color theme="1"/>
        <rFont val="Trebuchet MS"/>
        <family val="2"/>
      </rPr>
      <t>3 marks</t>
    </r>
    <r>
      <rPr>
        <sz val="11"/>
        <color theme="1"/>
        <rFont val="Trebuchet MS"/>
        <family val="2"/>
      </rPr>
      <t xml:space="preserve"> for labour cost</t>
    </r>
  </si>
  <si>
    <r>
      <t>***</t>
    </r>
    <r>
      <rPr>
        <b/>
        <sz val="11"/>
        <color theme="1"/>
        <rFont val="Trebuchet MS"/>
        <family val="2"/>
      </rPr>
      <t>4 marks</t>
    </r>
    <r>
      <rPr>
        <sz val="11"/>
        <color theme="1"/>
        <rFont val="Trebuchet MS"/>
        <family val="2"/>
      </rPr>
      <t xml:space="preserve"> for Overheads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</si>
  <si>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C2 and C3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  <r>
      <rPr>
        <sz val="11"/>
        <color theme="1"/>
        <rFont val="Arial"/>
        <family val="2"/>
      </rPr>
      <t> 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</si>
  <si>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materials and labour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</si>
  <si>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C1 and 1 mark for Production C2 and C3</t>
    </r>
    <r>
      <rPr>
        <sz val="11"/>
        <color theme="1"/>
        <rFont val="Arial"/>
        <family val="2"/>
      </rPr>
      <t> </t>
    </r>
    <r>
      <rPr>
        <sz val="11"/>
        <color theme="1"/>
        <rFont val="Trebuchet MS"/>
        <family val="2"/>
      </rPr>
      <t> 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</si>
  <si>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Cost per unit line</t>
    </r>
    <r>
      <rPr>
        <sz val="11"/>
        <color theme="1"/>
        <rFont val="Arial"/>
        <family val="2"/>
      </rPr>
      <t>  </t>
    </r>
    <r>
      <rPr>
        <sz val="11"/>
        <color theme="1"/>
        <rFont val="Trebuchet MS"/>
        <family val="2"/>
      </rPr>
      <t> </t>
    </r>
  </si>
  <si>
    <r>
      <t xml:space="preserve">*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all correct totals in the Transactions column.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</si>
  <si>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each line of C1 from Machine down to Despatch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</si>
  <si>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each line of C2 and C3 from Machine down to Despatch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</si>
  <si>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 xml:space="preserve">Award </t>
    </r>
    <r>
      <rPr>
        <b/>
        <sz val="11"/>
        <color theme="1"/>
        <rFont val="Trebuchet MS"/>
        <family val="2"/>
      </rPr>
      <t>2 marks</t>
    </r>
    <r>
      <rPr>
        <sz val="11"/>
        <color theme="1"/>
        <rFont val="Trebuchet MS"/>
        <family val="2"/>
      </rPr>
      <t xml:space="preserve"> if cost per driver not shown in workings.</t>
    </r>
    <r>
      <rPr>
        <sz val="11"/>
        <color theme="1"/>
        <rFont val="Arial"/>
        <family val="2"/>
      </rPr>
      <t> </t>
    </r>
  </si>
  <si>
    <r>
      <t xml:space="preserve">*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both Materials and Labour insertions</t>
    </r>
    <r>
      <rPr>
        <sz val="11"/>
        <color theme="1"/>
        <rFont val="Arial"/>
        <family val="2"/>
      </rPr>
      <t> </t>
    </r>
    <r>
      <rPr>
        <sz val="11"/>
        <color theme="1"/>
        <rFont val="Trebuchet MS"/>
        <family val="2"/>
      </rPr>
      <t> </t>
    </r>
  </si>
  <si>
    <r>
      <t xml:space="preserve">Any 2 for </t>
    </r>
    <r>
      <rPr>
        <b/>
        <sz val="11"/>
        <color theme="1"/>
        <rFont val="Trebuchet MS"/>
        <family val="2"/>
      </rPr>
      <t>2 marks</t>
    </r>
    <r>
      <rPr>
        <sz val="11"/>
        <color theme="1"/>
        <rFont val="Trebuchet MS"/>
        <family val="2"/>
      </rPr>
      <t xml:space="preserve"> each.</t>
    </r>
  </si>
  <si>
    <r>
      <t xml:space="preserve">Any 3 for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each.</t>
    </r>
  </si>
  <si>
    <t xml:space="preserve">*(1) </t>
  </si>
  <si>
    <t>**(1)</t>
  </si>
  <si>
    <t xml:space="preserve"> -(1)</t>
  </si>
  <si>
    <t>***(1)</t>
  </si>
  <si>
    <r>
      <t>* 1 mark</t>
    </r>
    <r>
      <rPr>
        <sz val="11"/>
        <color theme="1"/>
        <rFont val="Trebuchet MS"/>
        <family val="2"/>
      </rPr>
      <t xml:space="preserve"> for purchases and carriage in. </t>
    </r>
  </si>
  <si>
    <r>
      <t>** 1 mark</t>
    </r>
    <r>
      <rPr>
        <sz val="11"/>
        <color theme="1"/>
        <rFont val="Trebuchet MS"/>
        <family val="2"/>
      </rPr>
      <t xml:space="preserve"> for both opening and closing inventories.</t>
    </r>
  </si>
  <si>
    <r>
      <t>*** 1 mark</t>
    </r>
    <r>
      <rPr>
        <sz val="11"/>
        <color theme="1"/>
        <rFont val="Trebuchet MS"/>
        <family val="2"/>
      </rPr>
      <t xml:space="preserve"> for both audit fees and directors’ fees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</si>
  <si>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entry of discounts (net) and 1 mark for correct treatment</t>
    </r>
  </si>
  <si>
    <r>
      <t xml:space="preserve">*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Purchases and Carriage In</t>
    </r>
  </si>
  <si>
    <r>
      <t xml:space="preserve">**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both Opening and Closing Inventory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</si>
  <si>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all 3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</si>
  <si>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</t>
    </r>
    <r>
      <rPr>
        <sz val="11"/>
        <color rgb="FF000000"/>
        <rFont val="Trebuchet MS"/>
        <family val="2"/>
      </rPr>
      <t xml:space="preserve">entry, </t>
    </r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for correct treatment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</si>
  <si>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4,200 </t>
    </r>
    <r>
      <rPr>
        <b/>
        <sz val="11"/>
        <color theme="1"/>
        <rFont val="Trebuchet MS"/>
        <family val="2"/>
      </rPr>
      <t>−</t>
    </r>
    <r>
      <rPr>
        <sz val="11"/>
        <color theme="1"/>
        <rFont val="Trebuchet MS"/>
        <family val="2"/>
      </rPr>
      <t xml:space="preserve"> 300,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entry</t>
    </r>
  </si>
  <si>
    <r>
      <t xml:space="preserve">*** </t>
    </r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for both Directors' Fees and Auditors' Fees</t>
    </r>
  </si>
  <si>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for calculation, </t>
    </r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for all 3 correctly entered</t>
    </r>
  </si>
  <si>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for calculation, </t>
    </r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for both correctly entered</t>
    </r>
  </si>
  <si>
    <r>
      <t>* 1 mark</t>
    </r>
    <r>
      <rPr>
        <sz val="11"/>
        <color theme="1"/>
        <rFont val="Trebuchet MS"/>
        <family val="2"/>
      </rPr>
      <t xml:space="preserve"> for both NPVs.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</si>
</sst>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£&quot;#,##0;[Red]\-&quot;£&quot;#,##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&quot;£&quot;#,##0"/>
    <numFmt numFmtId="166" formatCode="_-* #,##0_-;\-* #,##0_-;_-* &quot;-&quot;??_-;_-@_-"/>
    <numFmt numFmtId="167" formatCode="0.0"/>
    <numFmt numFmtId="168" formatCode="0.0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name val="Trebuchet MS"/>
      <family val="2"/>
    </font>
    <font>
      <b/>
      <sz val="11"/>
      <color rgb="FFFF0000"/>
      <name val="Trebuchet MS"/>
      <family val="2"/>
    </font>
    <font>
      <b/>
      <u/>
      <sz val="11"/>
      <color theme="1"/>
      <name val="Trebuchet MS"/>
      <family val="2"/>
    </font>
    <font>
      <sz val="11"/>
      <color rgb="FFFF0000"/>
      <name val="Trebuchet MS"/>
      <family val="2"/>
    </font>
    <font>
      <sz val="11"/>
      <color rgb="FF000000"/>
      <name val="Trebuchet MS"/>
      <family val="2"/>
    </font>
    <font>
      <vertAlign val="superscript"/>
      <sz val="11"/>
      <color theme="1"/>
      <name val="Trebuchet MS"/>
      <family val="2"/>
    </font>
    <font>
      <b/>
      <vertAlign val="superscript"/>
      <sz val="11"/>
      <color rgb="FFFF0000"/>
      <name val="Trebuchet MS"/>
      <family val="2"/>
    </font>
    <font>
      <vertAlign val="superscript"/>
      <sz val="11"/>
      <color rgb="FFFF0000"/>
      <name val="Trebuchet MS"/>
      <family val="2"/>
    </font>
    <font>
      <b/>
      <sz val="4"/>
      <color rgb="FFFF0000"/>
      <name val="Trebuchet MS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221E1F"/>
      <name val="Trebuchet MS"/>
      <family val="2"/>
    </font>
    <font>
      <u/>
      <sz val="11"/>
      <color theme="1"/>
      <name val="Trebuchet MS"/>
      <family val="2"/>
    </font>
    <font>
      <sz val="16"/>
      <color theme="1"/>
      <name val="Trebuchet MS"/>
      <family val="2"/>
    </font>
    <font>
      <sz val="16"/>
      <color rgb="FF000000"/>
      <name val="Trebuchet MS"/>
      <family val="2"/>
    </font>
    <font>
      <sz val="11"/>
      <color rgb="FF221E1F"/>
      <name val="Trebuchet MS"/>
      <family val="2"/>
    </font>
    <font>
      <u/>
      <sz val="11"/>
      <color rgb="FF221E1F"/>
      <name val="Trebuchet MS"/>
      <family val="2"/>
    </font>
    <font>
      <b/>
      <sz val="11"/>
      <color rgb="FF000000"/>
      <name val="Trebuchet MS"/>
      <family val="2"/>
    </font>
    <font>
      <b/>
      <sz val="11"/>
      <color theme="1"/>
      <name val="Aptos"/>
      <family val="2"/>
    </font>
    <font>
      <b/>
      <sz val="11"/>
      <color rgb="FF000000"/>
      <name val="Trebuchet MS"/>
    </font>
    <font>
      <sz val="11"/>
      <color rgb="FF000000"/>
      <name val="Trebuchet MS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0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4" fillId="2" borderId="0" xfId="0" applyFont="1" applyFill="1"/>
    <xf numFmtId="49" fontId="3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/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7" fillId="0" borderId="0" xfId="0" applyFont="1"/>
    <xf numFmtId="0" fontId="4" fillId="0" borderId="1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horizontal="right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3" fillId="0" borderId="10" xfId="0" applyFont="1" applyBorder="1"/>
    <xf numFmtId="0" fontId="4" fillId="0" borderId="10" xfId="0" applyFont="1" applyBorder="1"/>
    <xf numFmtId="49" fontId="6" fillId="0" borderId="10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4" fillId="0" borderId="10" xfId="0" applyNumberFormat="1" applyFont="1" applyBorder="1" applyAlignment="1">
      <alignment horizontal="right"/>
    </xf>
    <xf numFmtId="49" fontId="4" fillId="0" borderId="10" xfId="0" applyNumberFormat="1" applyFont="1" applyBorder="1"/>
    <xf numFmtId="0" fontId="9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vertical="center" readingOrder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5" xfId="0" applyFont="1" applyBorder="1"/>
    <xf numFmtId="0" fontId="3" fillId="0" borderId="15" xfId="0" applyFont="1" applyBorder="1"/>
    <xf numFmtId="0" fontId="3" fillId="0" borderId="5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/>
    <xf numFmtId="0" fontId="4" fillId="0" borderId="14" xfId="0" applyFont="1" applyBorder="1"/>
    <xf numFmtId="9" fontId="4" fillId="0" borderId="14" xfId="0" applyNumberFormat="1" applyFont="1" applyBorder="1"/>
    <xf numFmtId="9" fontId="4" fillId="0" borderId="1" xfId="0" applyNumberFormat="1" applyFont="1" applyBorder="1"/>
    <xf numFmtId="3" fontId="4" fillId="0" borderId="0" xfId="0" applyNumberFormat="1" applyFont="1"/>
    <xf numFmtId="3" fontId="4" fillId="0" borderId="7" xfId="0" applyNumberFormat="1" applyFont="1" applyBorder="1"/>
    <xf numFmtId="49" fontId="6" fillId="0" borderId="0" xfId="0" applyNumberFormat="1" applyFont="1" applyAlignment="1">
      <alignment horizontal="left"/>
    </xf>
    <xf numFmtId="0" fontId="3" fillId="0" borderId="7" xfId="0" applyFont="1" applyBorder="1"/>
    <xf numFmtId="6" fontId="4" fillId="0" borderId="0" xfId="0" applyNumberFormat="1" applyFont="1"/>
    <xf numFmtId="4" fontId="4" fillId="0" borderId="0" xfId="0" applyNumberFormat="1" applyFont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10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left" vertical="center" wrapText="1" indent="3"/>
    </xf>
    <xf numFmtId="0" fontId="3" fillId="0" borderId="12" xfId="0" applyFont="1" applyBorder="1"/>
    <xf numFmtId="0" fontId="6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8" fillId="0" borderId="1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3" fillId="0" borderId="0" xfId="0" applyFont="1" applyAlignment="1">
      <alignment vertical="center" wrapText="1"/>
    </xf>
    <xf numFmtId="9" fontId="4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/>
    </xf>
    <xf numFmtId="0" fontId="4" fillId="0" borderId="12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165" fontId="4" fillId="0" borderId="0" xfId="0" applyNumberFormat="1" applyFont="1"/>
    <xf numFmtId="0" fontId="3" fillId="0" borderId="12" xfId="0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4" fillId="0" borderId="15" xfId="0" applyFont="1" applyBorder="1"/>
    <xf numFmtId="0" fontId="4" fillId="0" borderId="8" xfId="0" applyFont="1" applyBorder="1" applyAlignment="1">
      <alignment horizontal="left" vertical="center" wrapText="1"/>
    </xf>
    <xf numFmtId="166" fontId="4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1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3" fillId="0" borderId="9" xfId="0" applyFont="1" applyBorder="1" applyAlignment="1">
      <alignment horizontal="center"/>
    </xf>
    <xf numFmtId="0" fontId="14" fillId="0" borderId="0" xfId="0" applyFont="1" applyAlignment="1">
      <alignment horizontal="right" vertical="center" wrapText="1"/>
    </xf>
    <xf numFmtId="49" fontId="6" fillId="0" borderId="9" xfId="0" applyNumberFormat="1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64" fontId="4" fillId="0" borderId="8" xfId="2" applyNumberFormat="1" applyFont="1" applyBorder="1" applyAlignment="1">
      <alignment vertical="center" wrapText="1"/>
    </xf>
    <xf numFmtId="6" fontId="4" fillId="0" borderId="10" xfId="0" applyNumberFormat="1" applyFont="1" applyBorder="1"/>
    <xf numFmtId="49" fontId="6" fillId="0" borderId="10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/>
    <xf numFmtId="49" fontId="5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9" fontId="6" fillId="0" borderId="7" xfId="0" applyNumberFormat="1" applyFont="1" applyBorder="1" applyAlignment="1">
      <alignment horizontal="left"/>
    </xf>
    <xf numFmtId="0" fontId="4" fillId="0" borderId="14" xfId="0" applyFont="1" applyBorder="1" applyAlignment="1">
      <alignment horizontal="right" vertical="center" wrapText="1"/>
    </xf>
    <xf numFmtId="49" fontId="6" fillId="0" borderId="12" xfId="0" applyNumberFormat="1" applyFont="1" applyBorder="1" applyAlignment="1">
      <alignment horizontal="left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2" fontId="4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3" fillId="3" borderId="1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17" fillId="0" borderId="0" xfId="0" applyFont="1" applyAlignment="1">
      <alignment horizontal="left" vertical="center"/>
    </xf>
    <xf numFmtId="0" fontId="0" fillId="0" borderId="7" xfId="0" applyBorder="1"/>
    <xf numFmtId="0" fontId="3" fillId="0" borderId="7" xfId="0" applyFont="1" applyBorder="1" applyAlignment="1">
      <alignment horizontal="left" vertical="center"/>
    </xf>
    <xf numFmtId="6" fontId="3" fillId="0" borderId="0" xfId="0" applyNumberFormat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2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10" xfId="1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left" vertical="center"/>
    </xf>
    <xf numFmtId="3" fontId="3" fillId="0" borderId="14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/>
    </xf>
    <xf numFmtId="6" fontId="3" fillId="0" borderId="0" xfId="0" applyNumberFormat="1" applyFont="1" applyAlignment="1">
      <alignment horizontal="center" vertical="center"/>
    </xf>
    <xf numFmtId="3" fontId="3" fillId="0" borderId="0" xfId="0" applyNumberFormat="1" applyFont="1"/>
    <xf numFmtId="0" fontId="8" fillId="0" borderId="7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/>
    <xf numFmtId="3" fontId="4" fillId="0" borderId="10" xfId="0" applyNumberFormat="1" applyFont="1" applyBorder="1"/>
    <xf numFmtId="0" fontId="4" fillId="0" borderId="7" xfId="0" applyFont="1" applyBorder="1" applyAlignment="1">
      <alignment wrapText="1"/>
    </xf>
    <xf numFmtId="0" fontId="4" fillId="0" borderId="12" xfId="0" applyFont="1" applyBorder="1" applyAlignment="1">
      <alignment wrapText="1"/>
    </xf>
    <xf numFmtId="3" fontId="0" fillId="0" borderId="0" xfId="0" applyNumberFormat="1"/>
    <xf numFmtId="0" fontId="18" fillId="0" borderId="0" xfId="0" applyFont="1" applyAlignment="1">
      <alignment horizontal="left" vertical="center"/>
    </xf>
    <xf numFmtId="3" fontId="4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 wrapText="1"/>
    </xf>
    <xf numFmtId="0" fontId="4" fillId="0" borderId="7" xfId="0" applyFont="1" applyBorder="1" applyAlignment="1">
      <alignment vertical="center"/>
    </xf>
    <xf numFmtId="0" fontId="9" fillId="0" borderId="0" xfId="0" applyFont="1" applyAlignment="1">
      <alignment horizontal="right" vertical="center" wrapText="1"/>
    </xf>
    <xf numFmtId="3" fontId="9" fillId="0" borderId="16" xfId="0" applyNumberFormat="1" applyFont="1" applyBorder="1" applyAlignment="1">
      <alignment horizontal="right" vertical="center" wrapText="1"/>
    </xf>
    <xf numFmtId="0" fontId="19" fillId="0" borderId="7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6" xfId="0" applyFont="1" applyBorder="1" applyAlignment="1">
      <alignment horizontal="right" vertical="center" wrapText="1"/>
    </xf>
    <xf numFmtId="0" fontId="21" fillId="0" borderId="0" xfId="0" applyFont="1" applyAlignment="1">
      <alignment horizontal="justify" vertical="center"/>
    </xf>
    <xf numFmtId="49" fontId="6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3" fontId="9" fillId="0" borderId="10" xfId="0" applyNumberFormat="1" applyFont="1" applyBorder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0" fontId="21" fillId="0" borderId="7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0" fontId="4" fillId="0" borderId="9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167" fontId="4" fillId="0" borderId="0" xfId="0" applyNumberFormat="1" applyFont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68" fontId="4" fillId="0" borderId="10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8" xfId="0" applyFont="1" applyBorder="1" applyAlignment="1">
      <alignment horizontal="left" vertical="center"/>
    </xf>
    <xf numFmtId="0" fontId="0" fillId="0" borderId="10" xfId="0" applyBorder="1"/>
    <xf numFmtId="1" fontId="3" fillId="0" borderId="7" xfId="0" applyNumberFormat="1" applyFont="1" applyBorder="1" applyAlignment="1">
      <alignment horizontal="center" vertical="center" wrapText="1"/>
    </xf>
    <xf numFmtId="0" fontId="0" fillId="0" borderId="12" xfId="0" applyBorder="1"/>
    <xf numFmtId="49" fontId="4" fillId="0" borderId="15" xfId="0" applyNumberFormat="1" applyFont="1" applyBorder="1" applyAlignment="1">
      <alignment horizontal="right"/>
    </xf>
    <xf numFmtId="49" fontId="4" fillId="0" borderId="15" xfId="0" applyNumberFormat="1" applyFont="1" applyBorder="1"/>
    <xf numFmtId="0" fontId="6" fillId="0" borderId="15" xfId="0" applyFont="1" applyBorder="1" applyAlignment="1">
      <alignment horizontal="center"/>
    </xf>
    <xf numFmtId="0" fontId="18" fillId="0" borderId="7" xfId="0" applyFont="1" applyBorder="1" applyAlignment="1">
      <alignment horizontal="left" vertical="center"/>
    </xf>
    <xf numFmtId="0" fontId="26" fillId="0" borderId="0" xfId="0" applyFont="1"/>
    <xf numFmtId="0" fontId="26" fillId="0" borderId="0" xfId="0" applyFont="1" applyAlignment="1">
      <alignment vertical="center" readingOrder="1"/>
    </xf>
    <xf numFmtId="0" fontId="26" fillId="0" borderId="10" xfId="0" applyFont="1" applyBorder="1"/>
    <xf numFmtId="0" fontId="9" fillId="0" borderId="0" xfId="0" applyFont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6" fontId="4" fillId="0" borderId="0" xfId="1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0" fontId="3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8" fillId="0" borderId="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3" fillId="0" borderId="17" xfId="0" applyFont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76200</xdr:rowOff>
    </xdr:from>
    <xdr:to>
      <xdr:col>9</xdr:col>
      <xdr:colOff>108584</xdr:colOff>
      <xdr:row>9</xdr:row>
      <xdr:rowOff>142875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F229054B-3586-47AF-A6A7-CB73A4BB32CB}"/>
            </a:ext>
          </a:extLst>
        </xdr:cNvPr>
        <xdr:cNvSpPr/>
      </xdr:nvSpPr>
      <xdr:spPr>
        <a:xfrm>
          <a:off x="7277100" y="1809750"/>
          <a:ext cx="86359" cy="244475"/>
        </a:xfrm>
        <a:prstGeom prst="righ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51435</xdr:colOff>
      <xdr:row>36</xdr:row>
      <xdr:rowOff>38100</xdr:rowOff>
    </xdr:from>
    <xdr:to>
      <xdr:col>6</xdr:col>
      <xdr:colOff>180975</xdr:colOff>
      <xdr:row>37</xdr:row>
      <xdr:rowOff>198120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FC5EF471-6CA1-449B-A544-5805442B3C30}"/>
            </a:ext>
          </a:extLst>
        </xdr:cNvPr>
        <xdr:cNvSpPr/>
      </xdr:nvSpPr>
      <xdr:spPr>
        <a:xfrm>
          <a:off x="4867910" y="7019925"/>
          <a:ext cx="129540" cy="325120"/>
        </a:xfrm>
        <a:prstGeom prst="righ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47625</xdr:rowOff>
    </xdr:from>
    <xdr:to>
      <xdr:col>5</xdr:col>
      <xdr:colOff>76200</xdr:colOff>
      <xdr:row>4</xdr:row>
      <xdr:rowOff>165735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54FC3737-4267-433D-957B-4422817048FF}"/>
            </a:ext>
          </a:extLst>
        </xdr:cNvPr>
        <xdr:cNvSpPr>
          <a:spLocks/>
        </xdr:cNvSpPr>
      </xdr:nvSpPr>
      <xdr:spPr>
        <a:xfrm>
          <a:off x="3543300" y="835025"/>
          <a:ext cx="76200" cy="299085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8</xdr:col>
      <xdr:colOff>19050</xdr:colOff>
      <xdr:row>13</xdr:row>
      <xdr:rowOff>38100</xdr:rowOff>
    </xdr:from>
    <xdr:to>
      <xdr:col>8</xdr:col>
      <xdr:colOff>136525</xdr:colOff>
      <xdr:row>15</xdr:row>
      <xdr:rowOff>6350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1A69AA8C-6F45-43A9-A47E-EA91BC855098}"/>
            </a:ext>
          </a:extLst>
        </xdr:cNvPr>
        <xdr:cNvSpPr>
          <a:spLocks/>
        </xdr:cNvSpPr>
      </xdr:nvSpPr>
      <xdr:spPr>
        <a:xfrm>
          <a:off x="5829300" y="2686050"/>
          <a:ext cx="120650" cy="333375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8</xdr:col>
      <xdr:colOff>0</xdr:colOff>
      <xdr:row>34</xdr:row>
      <xdr:rowOff>0</xdr:rowOff>
    </xdr:from>
    <xdr:to>
      <xdr:col>8</xdr:col>
      <xdr:colOff>117475</xdr:colOff>
      <xdr:row>35</xdr:row>
      <xdr:rowOff>177800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8AF02E88-34AA-488C-BF90-0C33E3C2179F}"/>
            </a:ext>
          </a:extLst>
        </xdr:cNvPr>
        <xdr:cNvSpPr>
          <a:spLocks/>
        </xdr:cNvSpPr>
      </xdr:nvSpPr>
      <xdr:spPr>
        <a:xfrm>
          <a:off x="5810250" y="6448425"/>
          <a:ext cx="120650" cy="3619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31</xdr:row>
      <xdr:rowOff>28575</xdr:rowOff>
    </xdr:from>
    <xdr:to>
      <xdr:col>5</xdr:col>
      <xdr:colOff>227965</xdr:colOff>
      <xdr:row>32</xdr:row>
      <xdr:rowOff>163830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172D10-C290-49F4-A6AF-56BF992B5D80}"/>
            </a:ext>
          </a:extLst>
        </xdr:cNvPr>
        <xdr:cNvSpPr>
          <a:spLocks/>
        </xdr:cNvSpPr>
      </xdr:nvSpPr>
      <xdr:spPr>
        <a:xfrm>
          <a:off x="4359275" y="5826125"/>
          <a:ext cx="145415" cy="31623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161926</xdr:rowOff>
    </xdr:from>
    <xdr:to>
      <xdr:col>7</xdr:col>
      <xdr:colOff>371475</xdr:colOff>
      <xdr:row>11</xdr:row>
      <xdr:rowOff>133353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7947147B-EB11-4796-B0EA-F15B973C2321}"/>
            </a:ext>
          </a:extLst>
        </xdr:cNvPr>
        <xdr:cNvSpPr>
          <a:spLocks/>
        </xdr:cNvSpPr>
      </xdr:nvSpPr>
      <xdr:spPr>
        <a:xfrm rot="5400000">
          <a:off x="5326061" y="1452565"/>
          <a:ext cx="155577" cy="15684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5</xdr:col>
      <xdr:colOff>314325</xdr:colOff>
      <xdr:row>13</xdr:row>
      <xdr:rowOff>133353</xdr:rowOff>
    </xdr:from>
    <xdr:to>
      <xdr:col>7</xdr:col>
      <xdr:colOff>361950</xdr:colOff>
      <xdr:row>14</xdr:row>
      <xdr:rowOff>47629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D32016F6-F453-4F8D-A57D-D3DEA42DED5C}"/>
            </a:ext>
          </a:extLst>
        </xdr:cNvPr>
        <xdr:cNvSpPr>
          <a:spLocks/>
        </xdr:cNvSpPr>
      </xdr:nvSpPr>
      <xdr:spPr>
        <a:xfrm rot="5400000">
          <a:off x="5338762" y="2097091"/>
          <a:ext cx="92076" cy="15938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5</xdr:col>
      <xdr:colOff>419100</xdr:colOff>
      <xdr:row>26</xdr:row>
      <xdr:rowOff>161926</xdr:rowOff>
    </xdr:from>
    <xdr:to>
      <xdr:col>7</xdr:col>
      <xdr:colOff>447675</xdr:colOff>
      <xdr:row>27</xdr:row>
      <xdr:rowOff>133353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5FC12E91-06D7-4BE8-A1C2-18634EE52E37}"/>
            </a:ext>
          </a:extLst>
        </xdr:cNvPr>
        <xdr:cNvSpPr>
          <a:spLocks/>
        </xdr:cNvSpPr>
      </xdr:nvSpPr>
      <xdr:spPr>
        <a:xfrm rot="5400000">
          <a:off x="5402261" y="4643440"/>
          <a:ext cx="155577" cy="15684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5</xdr:col>
      <xdr:colOff>381000</xdr:colOff>
      <xdr:row>29</xdr:row>
      <xdr:rowOff>200026</xdr:rowOff>
    </xdr:from>
    <xdr:to>
      <xdr:col>7</xdr:col>
      <xdr:colOff>409575</xdr:colOff>
      <xdr:row>30</xdr:row>
      <xdr:rowOff>171453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96B882DB-D833-442B-904D-868D0D399257}"/>
            </a:ext>
          </a:extLst>
        </xdr:cNvPr>
        <xdr:cNvSpPr>
          <a:spLocks/>
        </xdr:cNvSpPr>
      </xdr:nvSpPr>
      <xdr:spPr>
        <a:xfrm rot="5400000">
          <a:off x="5354636" y="5329240"/>
          <a:ext cx="174627" cy="15684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771525</xdr:colOff>
      <xdr:row>5</xdr:row>
      <xdr:rowOff>85725</xdr:rowOff>
    </xdr:from>
    <xdr:to>
      <xdr:col>10</xdr:col>
      <xdr:colOff>132715</xdr:colOff>
      <xdr:row>6</xdr:row>
      <xdr:rowOff>153670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CA217503-B1DD-432C-BE66-A86ACD74F05B}"/>
            </a:ext>
          </a:extLst>
        </xdr:cNvPr>
        <xdr:cNvSpPr>
          <a:spLocks/>
        </xdr:cNvSpPr>
      </xdr:nvSpPr>
      <xdr:spPr>
        <a:xfrm>
          <a:off x="4854575" y="1206500"/>
          <a:ext cx="135890" cy="252095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8</xdr:col>
      <xdr:colOff>0</xdr:colOff>
      <xdr:row>4</xdr:row>
      <xdr:rowOff>161925</xdr:rowOff>
    </xdr:from>
    <xdr:to>
      <xdr:col>8</xdr:col>
      <xdr:colOff>142240</xdr:colOff>
      <xdr:row>7</xdr:row>
      <xdr:rowOff>71120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F08E9D82-C870-4D93-BB64-89F2C567DA9B}"/>
            </a:ext>
          </a:extLst>
        </xdr:cNvPr>
        <xdr:cNvSpPr>
          <a:spLocks/>
        </xdr:cNvSpPr>
      </xdr:nvSpPr>
      <xdr:spPr>
        <a:xfrm>
          <a:off x="3810000" y="1101725"/>
          <a:ext cx="145415" cy="45212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4</xdr:col>
      <xdr:colOff>590550</xdr:colOff>
      <xdr:row>5</xdr:row>
      <xdr:rowOff>104775</xdr:rowOff>
    </xdr:from>
    <xdr:to>
      <xdr:col>5</xdr:col>
      <xdr:colOff>123190</xdr:colOff>
      <xdr:row>6</xdr:row>
      <xdr:rowOff>172720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2CA7E6FE-4887-4C0F-84C4-AB0BAC7B5981}"/>
            </a:ext>
          </a:extLst>
        </xdr:cNvPr>
        <xdr:cNvSpPr>
          <a:spLocks/>
        </xdr:cNvSpPr>
      </xdr:nvSpPr>
      <xdr:spPr>
        <a:xfrm>
          <a:off x="2066925" y="1225550"/>
          <a:ext cx="145415" cy="252095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  <xdr:twoCellAnchor>
    <xdr:from>
      <xdr:col>13</xdr:col>
      <xdr:colOff>19050</xdr:colOff>
      <xdr:row>4</xdr:row>
      <xdr:rowOff>142875</xdr:rowOff>
    </xdr:from>
    <xdr:to>
      <xdr:col>13</xdr:col>
      <xdr:colOff>161290</xdr:colOff>
      <xdr:row>7</xdr:row>
      <xdr:rowOff>52070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9071AB9F-34BC-496D-B4DF-8F591803BB7F}"/>
            </a:ext>
          </a:extLst>
        </xdr:cNvPr>
        <xdr:cNvSpPr>
          <a:spLocks/>
        </xdr:cNvSpPr>
      </xdr:nvSpPr>
      <xdr:spPr>
        <a:xfrm>
          <a:off x="6543675" y="1082675"/>
          <a:ext cx="145415" cy="45212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t"/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D453-34EE-454E-A106-3AAB588D7D35}">
  <sheetPr>
    <pageSetUpPr fitToPage="1"/>
  </sheetPr>
  <dimension ref="A1:Q76"/>
  <sheetViews>
    <sheetView topLeftCell="B20" workbookViewId="0">
      <selection activeCell="O18" sqref="O18"/>
    </sheetView>
  </sheetViews>
  <sheetFormatPr defaultColWidth="8.7109375" defaultRowHeight="16.5" x14ac:dyDescent="0.3"/>
  <cols>
    <col min="1" max="1" width="4.7109375" style="7" customWidth="1"/>
    <col min="2" max="2" width="4.28515625" style="7" customWidth="1"/>
    <col min="3" max="3" width="5.85546875" style="7" customWidth="1"/>
    <col min="4" max="4" width="22.5703125" style="7" customWidth="1"/>
    <col min="5" max="5" width="14.85546875" style="7" customWidth="1"/>
    <col min="6" max="6" width="16.7109375" style="7" customWidth="1"/>
    <col min="7" max="7" width="10.85546875" style="7" customWidth="1"/>
    <col min="8" max="8" width="12.140625" style="7" customWidth="1"/>
    <col min="9" max="9" width="12" style="8" customWidth="1"/>
    <col min="10" max="10" width="8.7109375" style="9"/>
    <col min="11" max="11" width="6.7109375" style="28" customWidth="1"/>
    <col min="12" max="16" width="8.7109375" style="7"/>
    <col min="17" max="17" width="18.42578125" style="7" customWidth="1"/>
    <col min="18" max="16384" width="8.7109375" style="7"/>
  </cols>
  <sheetData>
    <row r="1" spans="1:17" s="2" customFormat="1" ht="36.75" customHeight="1" x14ac:dyDescent="0.3">
      <c r="A1" s="227" t="s">
        <v>0</v>
      </c>
      <c r="B1" s="227"/>
      <c r="C1" s="227"/>
      <c r="D1" s="227" t="s">
        <v>1</v>
      </c>
      <c r="E1" s="228"/>
      <c r="F1" s="228"/>
      <c r="G1" s="228"/>
      <c r="H1" s="228"/>
      <c r="I1" s="228"/>
      <c r="J1" s="229"/>
      <c r="K1" s="1" t="s">
        <v>2</v>
      </c>
      <c r="L1" s="230" t="s">
        <v>3</v>
      </c>
      <c r="M1" s="231"/>
      <c r="N1" s="231"/>
      <c r="O1" s="231"/>
      <c r="P1" s="231"/>
      <c r="Q1" s="231"/>
    </row>
    <row r="2" spans="1:17" x14ac:dyDescent="0.3">
      <c r="A2" s="3" t="s">
        <v>4</v>
      </c>
      <c r="B2" s="4" t="s">
        <v>5</v>
      </c>
      <c r="C2" s="5"/>
      <c r="D2" s="6"/>
      <c r="K2" s="10">
        <v>37</v>
      </c>
      <c r="Q2" s="5"/>
    </row>
    <row r="3" spans="1:17" x14ac:dyDescent="0.3">
      <c r="A3" s="11"/>
      <c r="B3" s="12"/>
      <c r="C3" s="13"/>
      <c r="D3" s="6" t="s">
        <v>6</v>
      </c>
      <c r="K3" s="14"/>
      <c r="Q3" s="13"/>
    </row>
    <row r="4" spans="1:17" x14ac:dyDescent="0.3">
      <c r="A4" s="11"/>
      <c r="B4" s="12"/>
      <c r="C4" s="13"/>
      <c r="G4" s="15"/>
      <c r="H4" s="15"/>
      <c r="I4" s="16" t="s">
        <v>7</v>
      </c>
      <c r="J4" s="16" t="s">
        <v>8</v>
      </c>
      <c r="K4" s="12"/>
      <c r="Q4" s="13"/>
    </row>
    <row r="5" spans="1:17" x14ac:dyDescent="0.3">
      <c r="A5" s="11"/>
      <c r="B5" s="12"/>
      <c r="C5" s="13"/>
      <c r="D5" s="17" t="s">
        <v>9</v>
      </c>
      <c r="G5" s="8" t="s">
        <v>10</v>
      </c>
      <c r="H5" s="8" t="s">
        <v>10</v>
      </c>
      <c r="I5" s="16" t="s">
        <v>11</v>
      </c>
      <c r="J5" s="16" t="s">
        <v>11</v>
      </c>
      <c r="K5" s="12"/>
      <c r="Q5" s="13"/>
    </row>
    <row r="6" spans="1:17" x14ac:dyDescent="0.3">
      <c r="A6" s="11"/>
      <c r="B6" s="12"/>
      <c r="C6" s="13"/>
      <c r="D6" s="7" t="s">
        <v>12</v>
      </c>
      <c r="G6" s="15">
        <v>368</v>
      </c>
      <c r="H6" s="15"/>
      <c r="I6" s="16" t="s">
        <v>13</v>
      </c>
      <c r="J6" s="16" t="s">
        <v>14</v>
      </c>
      <c r="K6" s="14"/>
      <c r="L6" s="7" t="s">
        <v>15</v>
      </c>
      <c r="Q6" s="13"/>
    </row>
    <row r="7" spans="1:17" x14ac:dyDescent="0.3">
      <c r="A7" s="11"/>
      <c r="B7" s="12"/>
      <c r="C7" s="13"/>
      <c r="D7" s="7" t="s">
        <v>16</v>
      </c>
      <c r="G7" s="15"/>
      <c r="H7" s="15"/>
      <c r="I7" s="16"/>
      <c r="J7" s="16"/>
      <c r="K7" s="14"/>
      <c r="L7" s="7" t="s">
        <v>17</v>
      </c>
      <c r="Q7" s="13"/>
    </row>
    <row r="8" spans="1:17" x14ac:dyDescent="0.3">
      <c r="A8" s="11"/>
      <c r="B8" s="12"/>
      <c r="C8" s="13"/>
      <c r="D8" s="7" t="s">
        <v>18</v>
      </c>
      <c r="G8" s="15">
        <v>120</v>
      </c>
      <c r="H8" s="15"/>
      <c r="I8" s="16" t="s">
        <v>14</v>
      </c>
      <c r="J8" s="16" t="s">
        <v>14</v>
      </c>
      <c r="K8" s="14"/>
      <c r="L8" s="7" t="s">
        <v>19</v>
      </c>
      <c r="Q8" s="13"/>
    </row>
    <row r="9" spans="1:17" x14ac:dyDescent="0.3">
      <c r="A9" s="11"/>
      <c r="B9" s="12"/>
      <c r="C9" s="13"/>
      <c r="D9" s="7" t="s">
        <v>20</v>
      </c>
      <c r="G9" s="15">
        <v>4</v>
      </c>
      <c r="H9" s="15"/>
      <c r="I9" s="16" t="s">
        <v>21</v>
      </c>
      <c r="J9" s="232" t="s">
        <v>14</v>
      </c>
      <c r="K9" s="12"/>
      <c r="Q9" s="13"/>
    </row>
    <row r="10" spans="1:17" x14ac:dyDescent="0.3">
      <c r="A10" s="11"/>
      <c r="B10" s="12"/>
      <c r="C10" s="13"/>
      <c r="D10" s="7" t="s">
        <v>22</v>
      </c>
      <c r="G10" s="18">
        <v>-55</v>
      </c>
      <c r="H10" s="15"/>
      <c r="I10" s="16" t="s">
        <v>23</v>
      </c>
      <c r="J10" s="232"/>
      <c r="K10" s="12"/>
      <c r="Q10" s="13"/>
    </row>
    <row r="11" spans="1:17" x14ac:dyDescent="0.3">
      <c r="A11" s="11"/>
      <c r="B11" s="12"/>
      <c r="C11" s="13"/>
      <c r="D11" s="6" t="s">
        <v>24</v>
      </c>
      <c r="G11" s="15">
        <f>SUM(G6:G10)</f>
        <v>437</v>
      </c>
      <c r="H11" s="15"/>
      <c r="I11" s="16"/>
      <c r="J11" s="16"/>
      <c r="K11" s="12"/>
      <c r="Q11" s="13"/>
    </row>
    <row r="12" spans="1:17" x14ac:dyDescent="0.3">
      <c r="A12" s="11"/>
      <c r="B12" s="12"/>
      <c r="C12" s="13"/>
      <c r="D12" s="7" t="s">
        <v>25</v>
      </c>
      <c r="G12" s="15">
        <v>-12</v>
      </c>
      <c r="H12" s="15"/>
      <c r="I12" s="16" t="s">
        <v>14</v>
      </c>
      <c r="J12" s="16"/>
      <c r="K12" s="12"/>
      <c r="Q12" s="13"/>
    </row>
    <row r="13" spans="1:17" x14ac:dyDescent="0.3">
      <c r="A13" s="11"/>
      <c r="B13" s="12"/>
      <c r="C13" s="13"/>
      <c r="D13" s="7" t="s">
        <v>26</v>
      </c>
      <c r="G13" s="15">
        <v>9</v>
      </c>
      <c r="H13" s="15"/>
      <c r="I13" s="16" t="s">
        <v>14</v>
      </c>
      <c r="J13" s="16"/>
      <c r="K13" s="12"/>
      <c r="Q13" s="13"/>
    </row>
    <row r="14" spans="1:17" x14ac:dyDescent="0.3">
      <c r="A14" s="11"/>
      <c r="B14" s="12"/>
      <c r="C14" s="13"/>
      <c r="D14" s="7" t="s">
        <v>27</v>
      </c>
      <c r="G14" s="18">
        <v>7</v>
      </c>
      <c r="H14" s="15"/>
      <c r="I14" s="16" t="s">
        <v>14</v>
      </c>
      <c r="J14" s="16"/>
      <c r="K14" s="12"/>
      <c r="Q14" s="13"/>
    </row>
    <row r="15" spans="1:17" x14ac:dyDescent="0.3">
      <c r="A15" s="11"/>
      <c r="B15" s="12"/>
      <c r="C15" s="13"/>
      <c r="D15" s="6" t="s">
        <v>28</v>
      </c>
      <c r="G15" s="15">
        <f>SUM(G11:G14)</f>
        <v>441</v>
      </c>
      <c r="H15" s="15"/>
      <c r="I15" s="16"/>
      <c r="J15" s="16"/>
      <c r="K15" s="12"/>
      <c r="Q15" s="13"/>
    </row>
    <row r="16" spans="1:17" x14ac:dyDescent="0.3">
      <c r="A16" s="11"/>
      <c r="B16" s="12"/>
      <c r="C16" s="13"/>
      <c r="D16" s="7" t="s">
        <v>29</v>
      </c>
      <c r="G16" s="15">
        <v>-55</v>
      </c>
      <c r="H16" s="15"/>
      <c r="I16" s="16" t="s">
        <v>23</v>
      </c>
      <c r="J16" s="16" t="s">
        <v>14</v>
      </c>
      <c r="K16" s="12"/>
      <c r="Q16" s="13"/>
    </row>
    <row r="17" spans="1:17" x14ac:dyDescent="0.3">
      <c r="A17" s="11"/>
      <c r="B17" s="12"/>
      <c r="C17" s="13"/>
      <c r="D17" s="7" t="s">
        <v>30</v>
      </c>
      <c r="G17" s="18">
        <v>-15</v>
      </c>
      <c r="H17" s="15"/>
      <c r="I17" s="16" t="s">
        <v>23</v>
      </c>
      <c r="J17" s="16" t="s">
        <v>14</v>
      </c>
      <c r="K17" s="12"/>
      <c r="Q17" s="13"/>
    </row>
    <row r="18" spans="1:17" x14ac:dyDescent="0.3">
      <c r="A18" s="11"/>
      <c r="B18" s="12"/>
      <c r="C18" s="13"/>
      <c r="D18" s="6" t="s">
        <v>31</v>
      </c>
      <c r="G18" s="15"/>
      <c r="H18" s="19">
        <f>SUM(G15:G17)</f>
        <v>371</v>
      </c>
      <c r="I18" s="16"/>
      <c r="J18" s="16"/>
      <c r="K18" s="12"/>
      <c r="Q18" s="13"/>
    </row>
    <row r="19" spans="1:17" x14ac:dyDescent="0.3">
      <c r="A19" s="11"/>
      <c r="B19" s="12"/>
      <c r="C19" s="13"/>
      <c r="G19" s="15"/>
      <c r="H19" s="15"/>
      <c r="I19" s="16"/>
      <c r="J19" s="16"/>
      <c r="K19" s="12"/>
      <c r="Q19" s="13"/>
    </row>
    <row r="20" spans="1:17" x14ac:dyDescent="0.3">
      <c r="A20" s="11"/>
      <c r="B20" s="12"/>
      <c r="C20" s="13"/>
      <c r="D20" s="17" t="s">
        <v>32</v>
      </c>
      <c r="G20" s="15"/>
      <c r="H20" s="15"/>
      <c r="I20" s="16"/>
      <c r="J20" s="16"/>
      <c r="K20" s="12"/>
      <c r="Q20" s="13"/>
    </row>
    <row r="21" spans="1:17" x14ac:dyDescent="0.3">
      <c r="A21" s="11"/>
      <c r="B21" s="12"/>
      <c r="C21" s="13"/>
      <c r="D21" s="7" t="s">
        <v>33</v>
      </c>
      <c r="G21" s="15">
        <v>141</v>
      </c>
      <c r="H21" s="15"/>
      <c r="I21" s="16" t="s">
        <v>14</v>
      </c>
      <c r="J21" s="16" t="s">
        <v>14</v>
      </c>
      <c r="K21" s="12"/>
      <c r="Q21" s="13"/>
    </row>
    <row r="22" spans="1:17" x14ac:dyDescent="0.3">
      <c r="A22" s="11"/>
      <c r="B22" s="12"/>
      <c r="C22" s="13"/>
      <c r="D22" s="7" t="s">
        <v>34</v>
      </c>
      <c r="G22" s="18">
        <v>-435</v>
      </c>
      <c r="H22" s="15"/>
      <c r="I22" s="16" t="s">
        <v>14</v>
      </c>
      <c r="J22" s="16" t="s">
        <v>14</v>
      </c>
      <c r="K22" s="12"/>
      <c r="Q22" s="13"/>
    </row>
    <row r="23" spans="1:17" x14ac:dyDescent="0.3">
      <c r="A23" s="11"/>
      <c r="B23" s="12"/>
      <c r="C23" s="13"/>
      <c r="D23" s="7" t="s">
        <v>35</v>
      </c>
      <c r="G23" s="15"/>
      <c r="H23" s="19">
        <f>SUM(G21:G22)</f>
        <v>-294</v>
      </c>
      <c r="I23" s="16"/>
      <c r="J23" s="16"/>
      <c r="K23" s="12"/>
      <c r="Q23" s="13"/>
    </row>
    <row r="24" spans="1:17" x14ac:dyDescent="0.3">
      <c r="A24" s="11"/>
      <c r="B24" s="12"/>
      <c r="C24" s="13"/>
      <c r="G24" s="15"/>
      <c r="H24" s="15"/>
      <c r="I24" s="16"/>
      <c r="J24" s="16"/>
      <c r="K24" s="12"/>
      <c r="Q24" s="13"/>
    </row>
    <row r="25" spans="1:17" x14ac:dyDescent="0.3">
      <c r="A25" s="11"/>
      <c r="B25" s="12"/>
      <c r="C25" s="13"/>
      <c r="D25" s="17" t="s">
        <v>36</v>
      </c>
      <c r="G25" s="15"/>
      <c r="H25" s="15"/>
      <c r="I25" s="16"/>
      <c r="J25" s="16"/>
      <c r="K25" s="12"/>
      <c r="Q25" s="13"/>
    </row>
    <row r="26" spans="1:17" x14ac:dyDescent="0.3">
      <c r="A26" s="11"/>
      <c r="B26" s="12"/>
      <c r="C26" s="13"/>
      <c r="D26" s="7" t="s">
        <v>37</v>
      </c>
      <c r="G26" s="15">
        <v>60</v>
      </c>
      <c r="H26" s="15"/>
      <c r="I26" s="16" t="s">
        <v>14</v>
      </c>
      <c r="J26" s="16" t="s">
        <v>14</v>
      </c>
      <c r="K26" s="12"/>
      <c r="Q26" s="13"/>
    </row>
    <row r="27" spans="1:17" x14ac:dyDescent="0.3">
      <c r="A27" s="11"/>
      <c r="B27" s="12"/>
      <c r="C27" s="13"/>
      <c r="D27" s="7" t="s">
        <v>38</v>
      </c>
      <c r="G27" s="15">
        <v>75</v>
      </c>
      <c r="H27" s="15"/>
      <c r="I27" s="16" t="s">
        <v>14</v>
      </c>
      <c r="J27" s="16" t="s">
        <v>14</v>
      </c>
      <c r="K27" s="12"/>
      <c r="Q27" s="13"/>
    </row>
    <row r="28" spans="1:17" x14ac:dyDescent="0.3">
      <c r="A28" s="11"/>
      <c r="B28" s="12"/>
      <c r="C28" s="13"/>
      <c r="D28" s="7" t="s">
        <v>39</v>
      </c>
      <c r="G28" s="15">
        <v>15</v>
      </c>
      <c r="H28" s="15"/>
      <c r="I28" s="16" t="s">
        <v>14</v>
      </c>
      <c r="J28" s="16" t="s">
        <v>14</v>
      </c>
      <c r="K28" s="14"/>
      <c r="L28" s="7" t="s">
        <v>40</v>
      </c>
      <c r="Q28" s="13"/>
    </row>
    <row r="29" spans="1:17" x14ac:dyDescent="0.3">
      <c r="A29" s="11"/>
      <c r="B29" s="12"/>
      <c r="C29" s="13"/>
      <c r="D29" s="7" t="s">
        <v>41</v>
      </c>
      <c r="G29" s="18">
        <v>-40</v>
      </c>
      <c r="H29" s="15"/>
      <c r="I29" s="16" t="s">
        <v>14</v>
      </c>
      <c r="J29" s="16" t="s">
        <v>14</v>
      </c>
      <c r="K29" s="14"/>
      <c r="Q29" s="13"/>
    </row>
    <row r="30" spans="1:17" x14ac:dyDescent="0.3">
      <c r="A30" s="11"/>
      <c r="B30" s="12"/>
      <c r="C30" s="13"/>
      <c r="D30" s="6" t="s">
        <v>42</v>
      </c>
      <c r="G30" s="15"/>
      <c r="H30" s="20">
        <f>SUM(G26:G29)</f>
        <v>110</v>
      </c>
      <c r="I30" s="16"/>
      <c r="J30" s="16"/>
      <c r="K30" s="14"/>
      <c r="Q30" s="13"/>
    </row>
    <row r="31" spans="1:17" x14ac:dyDescent="0.3">
      <c r="A31" s="11"/>
      <c r="B31" s="12"/>
      <c r="C31" s="13"/>
      <c r="G31" s="15"/>
      <c r="H31" s="15"/>
      <c r="I31" s="16"/>
      <c r="J31" s="16"/>
      <c r="K31" s="14"/>
      <c r="Q31" s="13"/>
    </row>
    <row r="32" spans="1:17" x14ac:dyDescent="0.3">
      <c r="A32" s="21"/>
      <c r="B32" s="22"/>
      <c r="C32" s="23"/>
      <c r="D32" s="24" t="s">
        <v>43</v>
      </c>
      <c r="E32" s="25"/>
      <c r="F32" s="25"/>
      <c r="G32" s="18"/>
      <c r="H32" s="20">
        <f>H18+H23+H30</f>
        <v>187</v>
      </c>
      <c r="I32" s="26" t="s">
        <v>23</v>
      </c>
      <c r="J32" s="26"/>
      <c r="K32" s="27"/>
      <c r="L32" s="225" t="s">
        <v>44</v>
      </c>
      <c r="M32" s="25"/>
      <c r="N32" s="25"/>
      <c r="O32" s="25"/>
      <c r="P32" s="25"/>
      <c r="Q32" s="23"/>
    </row>
    <row r="33" spans="1:17" x14ac:dyDescent="0.3">
      <c r="A33" s="11"/>
      <c r="B33" s="12"/>
      <c r="C33" s="13"/>
      <c r="D33" s="7" t="s">
        <v>45</v>
      </c>
      <c r="G33" s="28" t="s">
        <v>11</v>
      </c>
      <c r="H33" s="15"/>
      <c r="I33" s="16"/>
      <c r="J33" s="16"/>
      <c r="K33" s="12"/>
      <c r="Q33" s="13"/>
    </row>
    <row r="34" spans="1:17" x14ac:dyDescent="0.3">
      <c r="A34" s="11"/>
      <c r="B34" s="12"/>
      <c r="C34" s="13"/>
      <c r="D34" s="6" t="s">
        <v>46</v>
      </c>
      <c r="G34" s="28"/>
      <c r="H34" s="15"/>
      <c r="I34" s="16"/>
      <c r="J34" s="16"/>
      <c r="K34" s="12"/>
      <c r="Q34" s="13"/>
    </row>
    <row r="35" spans="1:17" x14ac:dyDescent="0.3">
      <c r="A35" s="11"/>
      <c r="B35" s="12"/>
      <c r="C35" s="13"/>
      <c r="D35" s="7" t="s">
        <v>47</v>
      </c>
      <c r="F35" s="7">
        <f>620-360</f>
        <v>260</v>
      </c>
      <c r="G35" s="16" t="s">
        <v>14</v>
      </c>
      <c r="H35" s="15"/>
      <c r="I35" s="16"/>
      <c r="J35" s="16"/>
      <c r="K35" s="12"/>
      <c r="Q35" s="13"/>
    </row>
    <row r="36" spans="1:17" x14ac:dyDescent="0.3">
      <c r="A36" s="11"/>
      <c r="B36" s="12"/>
      <c r="C36" s="13"/>
      <c r="D36" s="7" t="s">
        <v>48</v>
      </c>
      <c r="F36" s="7">
        <v>18</v>
      </c>
      <c r="G36" s="16" t="s">
        <v>21</v>
      </c>
      <c r="H36" s="15"/>
      <c r="I36" s="16"/>
      <c r="J36" s="16"/>
      <c r="K36" s="12"/>
      <c r="L36" s="7" t="s">
        <v>49</v>
      </c>
      <c r="Q36" s="13"/>
    </row>
    <row r="37" spans="1:17" x14ac:dyDescent="0.3">
      <c r="A37" s="11"/>
      <c r="B37" s="12"/>
      <c r="C37" s="13"/>
      <c r="D37" s="7" t="s">
        <v>50</v>
      </c>
      <c r="F37" s="7">
        <v>50</v>
      </c>
      <c r="G37" s="232" t="s">
        <v>14</v>
      </c>
      <c r="H37" s="15"/>
      <c r="I37" s="16"/>
      <c r="J37" s="16"/>
      <c r="K37" s="12"/>
      <c r="Q37" s="13"/>
    </row>
    <row r="38" spans="1:17" x14ac:dyDescent="0.3">
      <c r="A38" s="11"/>
      <c r="B38" s="12"/>
      <c r="C38" s="13"/>
      <c r="D38" s="7" t="s">
        <v>51</v>
      </c>
      <c r="F38" s="7">
        <v>40</v>
      </c>
      <c r="G38" s="232"/>
      <c r="H38" s="15"/>
      <c r="I38" s="16"/>
      <c r="J38" s="16"/>
      <c r="K38" s="12"/>
      <c r="Q38" s="13"/>
    </row>
    <row r="39" spans="1:17" x14ac:dyDescent="0.3">
      <c r="A39" s="11"/>
      <c r="B39" s="12"/>
      <c r="C39" s="13"/>
      <c r="F39" s="6">
        <f>SUM(F35:F38)</f>
        <v>368</v>
      </c>
      <c r="G39" s="16"/>
      <c r="H39" s="15"/>
      <c r="I39" s="16"/>
      <c r="J39" s="16"/>
      <c r="K39" s="12"/>
      <c r="Q39" s="13"/>
    </row>
    <row r="40" spans="1:17" x14ac:dyDescent="0.3">
      <c r="A40" s="11"/>
      <c r="B40" s="12"/>
      <c r="C40" s="13"/>
      <c r="D40" s="6" t="s">
        <v>52</v>
      </c>
      <c r="G40" s="16"/>
      <c r="H40" s="15"/>
      <c r="I40" s="16"/>
      <c r="J40" s="16"/>
      <c r="K40" s="12"/>
      <c r="Q40" s="13"/>
    </row>
    <row r="41" spans="1:17" x14ac:dyDescent="0.3">
      <c r="A41" s="11"/>
      <c r="B41" s="12"/>
      <c r="C41" s="13"/>
      <c r="D41" s="7" t="s">
        <v>53</v>
      </c>
      <c r="F41" s="7">
        <f>90+30</f>
        <v>120</v>
      </c>
      <c r="G41" s="16" t="s">
        <v>14</v>
      </c>
      <c r="H41" s="15"/>
      <c r="I41" s="16"/>
      <c r="J41" s="16"/>
      <c r="K41" s="12"/>
      <c r="Q41" s="13"/>
    </row>
    <row r="42" spans="1:17" x14ac:dyDescent="0.3">
      <c r="A42" s="11"/>
      <c r="B42" s="12"/>
      <c r="C42" s="13"/>
      <c r="H42" s="28"/>
      <c r="I42" s="9"/>
      <c r="J42" s="16"/>
      <c r="K42" s="12"/>
      <c r="Q42" s="13"/>
    </row>
    <row r="43" spans="1:17" x14ac:dyDescent="0.3">
      <c r="A43" s="11"/>
      <c r="B43" s="12"/>
      <c r="C43" s="13"/>
      <c r="D43" s="6" t="s">
        <v>54</v>
      </c>
      <c r="K43" s="14"/>
      <c r="Q43" s="13"/>
    </row>
    <row r="44" spans="1:17" x14ac:dyDescent="0.3">
      <c r="A44" s="11"/>
      <c r="B44" s="12"/>
      <c r="C44" s="13"/>
      <c r="E44" s="7" t="s">
        <v>55</v>
      </c>
      <c r="F44" s="7" t="s">
        <v>56</v>
      </c>
      <c r="G44" s="7" t="s">
        <v>57</v>
      </c>
      <c r="K44" s="14"/>
      <c r="Q44" s="13"/>
    </row>
    <row r="45" spans="1:17" x14ac:dyDescent="0.3">
      <c r="A45" s="11"/>
      <c r="B45" s="12"/>
      <c r="C45" s="13"/>
      <c r="D45" s="7" t="s">
        <v>58</v>
      </c>
      <c r="E45" s="7">
        <v>80</v>
      </c>
      <c r="F45" s="7">
        <v>40</v>
      </c>
      <c r="G45" s="7">
        <v>15</v>
      </c>
      <c r="K45" s="14"/>
      <c r="Q45" s="13"/>
    </row>
    <row r="46" spans="1:17" x14ac:dyDescent="0.3">
      <c r="A46" s="11"/>
      <c r="B46" s="12"/>
      <c r="C46" s="13"/>
      <c r="D46" s="7" t="s">
        <v>59</v>
      </c>
      <c r="F46" s="7">
        <v>40</v>
      </c>
      <c r="G46" s="7">
        <v>5</v>
      </c>
      <c r="H46" s="16" t="s">
        <v>14</v>
      </c>
      <c r="K46" s="14"/>
      <c r="L46" s="223" t="s">
        <v>60</v>
      </c>
      <c r="Q46" s="13"/>
    </row>
    <row r="47" spans="1:17" x14ac:dyDescent="0.3">
      <c r="A47" s="11"/>
      <c r="B47" s="12"/>
      <c r="C47" s="13"/>
      <c r="D47" s="7" t="s">
        <v>61</v>
      </c>
      <c r="E47" s="7">
        <f>E45-E46</f>
        <v>80</v>
      </c>
      <c r="F47" s="7">
        <f t="shared" ref="F47:G47" si="0">F45-F46</f>
        <v>0</v>
      </c>
      <c r="G47" s="7">
        <f t="shared" si="0"/>
        <v>10</v>
      </c>
      <c r="H47" s="16" t="s">
        <v>14</v>
      </c>
      <c r="K47" s="14"/>
      <c r="L47" s="7" t="s">
        <v>62</v>
      </c>
      <c r="Q47" s="13"/>
    </row>
    <row r="48" spans="1:17" x14ac:dyDescent="0.3">
      <c r="A48" s="11"/>
      <c r="B48" s="12"/>
      <c r="C48" s="13"/>
      <c r="D48" s="7" t="s">
        <v>63</v>
      </c>
      <c r="E48" s="7">
        <v>125</v>
      </c>
      <c r="F48" s="7">
        <v>10</v>
      </c>
      <c r="G48" s="7">
        <v>6</v>
      </c>
      <c r="K48" s="14"/>
      <c r="Q48" s="13"/>
    </row>
    <row r="49" spans="1:17" x14ac:dyDescent="0.3">
      <c r="A49" s="11"/>
      <c r="B49" s="12"/>
      <c r="C49" s="13"/>
      <c r="D49" s="7" t="s">
        <v>64</v>
      </c>
      <c r="E49" s="7">
        <f>E48-E47</f>
        <v>45</v>
      </c>
      <c r="F49" s="7">
        <f t="shared" ref="F49:G49" si="1">F48-F47</f>
        <v>10</v>
      </c>
      <c r="G49" s="7">
        <f t="shared" si="1"/>
        <v>-4</v>
      </c>
      <c r="K49" s="14"/>
      <c r="Q49" s="13"/>
    </row>
    <row r="50" spans="1:17" x14ac:dyDescent="0.3">
      <c r="A50" s="11"/>
      <c r="B50" s="12"/>
      <c r="C50" s="13"/>
      <c r="E50" s="29" t="s">
        <v>14</v>
      </c>
      <c r="F50" s="29" t="s">
        <v>14</v>
      </c>
      <c r="G50" s="29" t="s">
        <v>14</v>
      </c>
      <c r="K50" s="14"/>
      <c r="L50" s="223" t="s">
        <v>65</v>
      </c>
      <c r="Q50" s="13"/>
    </row>
    <row r="51" spans="1:17" x14ac:dyDescent="0.3">
      <c r="A51" s="11"/>
      <c r="B51" s="12"/>
      <c r="C51" s="13"/>
      <c r="E51" s="29"/>
      <c r="F51" s="29"/>
      <c r="G51" s="29"/>
      <c r="K51" s="14"/>
      <c r="Q51" s="13"/>
    </row>
    <row r="52" spans="1:17" x14ac:dyDescent="0.3">
      <c r="A52" s="11"/>
      <c r="B52" s="12"/>
      <c r="C52" s="13"/>
      <c r="D52" s="7" t="s">
        <v>66</v>
      </c>
      <c r="G52" s="7">
        <f>15+18-18</f>
        <v>15</v>
      </c>
      <c r="H52" s="16" t="s">
        <v>23</v>
      </c>
      <c r="I52" s="9"/>
      <c r="J52" s="16"/>
      <c r="K52" s="12"/>
      <c r="L52" s="223" t="s">
        <v>67</v>
      </c>
      <c r="Q52" s="13"/>
    </row>
    <row r="53" spans="1:17" x14ac:dyDescent="0.3">
      <c r="A53" s="11"/>
      <c r="B53" s="12"/>
      <c r="C53" s="13"/>
      <c r="K53" s="14"/>
      <c r="Q53" s="13"/>
    </row>
    <row r="54" spans="1:17" x14ac:dyDescent="0.3">
      <c r="A54" s="11"/>
      <c r="B54" s="12"/>
      <c r="C54" s="13"/>
      <c r="D54" s="7" t="s">
        <v>68</v>
      </c>
      <c r="F54" s="7">
        <f>25+50-20</f>
        <v>55</v>
      </c>
      <c r="G54" s="16" t="s">
        <v>23</v>
      </c>
      <c r="H54" s="15"/>
      <c r="I54" s="16"/>
      <c r="J54" s="16"/>
      <c r="K54" s="12"/>
      <c r="L54" s="223" t="s">
        <v>69</v>
      </c>
      <c r="Q54" s="13"/>
    </row>
    <row r="55" spans="1:17" x14ac:dyDescent="0.3">
      <c r="A55" s="21"/>
      <c r="B55" s="22"/>
      <c r="C55" s="23"/>
      <c r="D55" s="25"/>
      <c r="E55" s="25"/>
      <c r="F55" s="25"/>
      <c r="G55" s="25"/>
      <c r="H55" s="25"/>
      <c r="I55" s="30"/>
      <c r="J55" s="31"/>
      <c r="K55" s="27"/>
      <c r="L55" s="25"/>
      <c r="M55" s="25"/>
      <c r="N55" s="25"/>
      <c r="O55" s="25"/>
      <c r="P55" s="25"/>
      <c r="Q55" s="23"/>
    </row>
    <row r="56" spans="1:17" x14ac:dyDescent="0.3">
      <c r="A56" s="11"/>
      <c r="B56" s="12" t="s">
        <v>70</v>
      </c>
      <c r="C56" s="13"/>
      <c r="K56" s="14"/>
      <c r="Q56" s="13"/>
    </row>
    <row r="57" spans="1:17" x14ac:dyDescent="0.3">
      <c r="A57" s="11"/>
      <c r="B57" s="12"/>
      <c r="C57" s="13"/>
      <c r="D57" s="7" t="s">
        <v>71</v>
      </c>
      <c r="K57" s="10">
        <v>3</v>
      </c>
      <c r="L57" s="224" t="s">
        <v>72</v>
      </c>
      <c r="Q57" s="13"/>
    </row>
    <row r="58" spans="1:17" x14ac:dyDescent="0.3">
      <c r="A58" s="11"/>
      <c r="B58" s="12"/>
      <c r="C58" s="13"/>
      <c r="K58" s="14"/>
      <c r="Q58" s="13"/>
    </row>
    <row r="59" spans="1:17" ht="32.1" customHeight="1" x14ac:dyDescent="0.3">
      <c r="A59" s="11"/>
      <c r="B59" s="12"/>
      <c r="C59" s="13"/>
      <c r="D59" s="226" t="s">
        <v>73</v>
      </c>
      <c r="E59" s="226"/>
      <c r="F59" s="226"/>
      <c r="G59" s="226"/>
      <c r="H59" s="226"/>
      <c r="I59" s="226"/>
      <c r="J59" s="226"/>
      <c r="K59" s="14"/>
      <c r="Q59" s="13"/>
    </row>
    <row r="60" spans="1:17" ht="14.45" customHeight="1" x14ac:dyDescent="0.3">
      <c r="A60" s="11"/>
      <c r="B60" s="12"/>
      <c r="C60" s="13"/>
      <c r="D60" s="32"/>
      <c r="E60" s="32"/>
      <c r="F60" s="32"/>
      <c r="G60" s="32"/>
      <c r="H60" s="32"/>
      <c r="I60" s="32"/>
      <c r="J60" s="32"/>
      <c r="K60" s="14"/>
      <c r="Q60" s="13"/>
    </row>
    <row r="61" spans="1:17" ht="18.600000000000001" customHeight="1" x14ac:dyDescent="0.3">
      <c r="A61" s="11"/>
      <c r="B61" s="12"/>
      <c r="C61" s="13"/>
      <c r="D61" s="7" t="s">
        <v>74</v>
      </c>
      <c r="K61" s="14"/>
      <c r="Q61" s="13"/>
    </row>
    <row r="62" spans="1:17" x14ac:dyDescent="0.3">
      <c r="A62" s="11"/>
      <c r="B62" s="12"/>
      <c r="C62" s="13"/>
      <c r="K62" s="14"/>
      <c r="Q62" s="13"/>
    </row>
    <row r="63" spans="1:17" x14ac:dyDescent="0.3">
      <c r="A63" s="11"/>
      <c r="B63" s="12"/>
      <c r="C63" s="13"/>
      <c r="D63" s="33" t="s">
        <v>75</v>
      </c>
      <c r="K63" s="14"/>
      <c r="Q63" s="13"/>
    </row>
    <row r="64" spans="1:17" x14ac:dyDescent="0.3">
      <c r="A64" s="11"/>
      <c r="B64" s="12"/>
      <c r="C64" s="13"/>
      <c r="D64" s="33"/>
      <c r="K64" s="14"/>
      <c r="Q64" s="13"/>
    </row>
    <row r="65" spans="1:17" x14ac:dyDescent="0.3">
      <c r="A65" s="11"/>
      <c r="B65" s="12"/>
      <c r="C65" s="13"/>
      <c r="D65" s="7" t="s">
        <v>76</v>
      </c>
      <c r="K65" s="14"/>
      <c r="Q65" s="13"/>
    </row>
    <row r="66" spans="1:17" x14ac:dyDescent="0.3">
      <c r="A66" s="11"/>
      <c r="B66" s="12"/>
      <c r="C66" s="13"/>
      <c r="K66" s="14"/>
      <c r="Q66" s="13"/>
    </row>
    <row r="67" spans="1:17" x14ac:dyDescent="0.3">
      <c r="A67" s="11"/>
      <c r="B67" s="12"/>
      <c r="C67" s="13"/>
      <c r="D67" s="33" t="s">
        <v>77</v>
      </c>
      <c r="K67" s="14"/>
      <c r="Q67" s="13"/>
    </row>
    <row r="68" spans="1:17" x14ac:dyDescent="0.3">
      <c r="A68" s="11"/>
      <c r="B68" s="12"/>
      <c r="C68" s="13"/>
      <c r="D68" s="33"/>
      <c r="K68" s="14"/>
      <c r="Q68" s="13"/>
    </row>
    <row r="69" spans="1:17" x14ac:dyDescent="0.3">
      <c r="A69" s="11"/>
      <c r="B69" s="12"/>
      <c r="C69" s="13"/>
      <c r="D69" s="33" t="s">
        <v>78</v>
      </c>
      <c r="K69" s="14"/>
      <c r="Q69" s="13"/>
    </row>
    <row r="70" spans="1:17" x14ac:dyDescent="0.3">
      <c r="A70" s="11"/>
      <c r="B70" s="12"/>
      <c r="C70" s="13"/>
      <c r="D70" s="33"/>
      <c r="K70" s="14"/>
      <c r="Q70" s="13"/>
    </row>
    <row r="71" spans="1:17" x14ac:dyDescent="0.3">
      <c r="A71" s="11"/>
      <c r="B71" s="12"/>
      <c r="C71" s="13"/>
      <c r="D71" s="33" t="s">
        <v>79</v>
      </c>
      <c r="K71" s="14"/>
      <c r="Q71" s="13"/>
    </row>
    <row r="72" spans="1:17" x14ac:dyDescent="0.3">
      <c r="A72" s="94"/>
      <c r="B72" s="94"/>
      <c r="C72" s="94"/>
      <c r="D72" s="94"/>
      <c r="E72" s="94"/>
      <c r="F72" s="94"/>
      <c r="G72" s="94"/>
      <c r="H72" s="94"/>
      <c r="I72" s="219"/>
      <c r="J72" s="220"/>
      <c r="K72" s="221"/>
      <c r="L72" s="94"/>
      <c r="M72" s="94"/>
      <c r="N72" s="94"/>
      <c r="O72" s="94"/>
      <c r="P72" s="94"/>
      <c r="Q72" s="94"/>
    </row>
    <row r="76" spans="1:17" ht="32.25" customHeight="1" x14ac:dyDescent="0.3"/>
  </sheetData>
  <mergeCells count="6">
    <mergeCell ref="D59:J59"/>
    <mergeCell ref="A1:C1"/>
    <mergeCell ref="D1:J1"/>
    <mergeCell ref="L1:Q1"/>
    <mergeCell ref="J9:J10"/>
    <mergeCell ref="G37:G38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rowBreaks count="1" manualBreakCount="1"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DE50-7300-4AD2-AF19-669C0CA65945}">
  <sheetPr>
    <pageSetUpPr fitToPage="1"/>
  </sheetPr>
  <dimension ref="A1:X30"/>
  <sheetViews>
    <sheetView topLeftCell="H1" workbookViewId="0">
      <selection activeCell="K12" sqref="K12"/>
    </sheetView>
  </sheetViews>
  <sheetFormatPr defaultColWidth="8.7109375" defaultRowHeight="16.5" x14ac:dyDescent="0.3"/>
  <cols>
    <col min="1" max="1" width="5" style="11" customWidth="1"/>
    <col min="2" max="2" width="5.28515625" style="7" customWidth="1"/>
    <col min="3" max="3" width="5.42578125" style="7" customWidth="1"/>
    <col min="4" max="4" width="22.28515625" style="7" customWidth="1"/>
    <col min="5" max="5" width="6" style="7" customWidth="1"/>
    <col min="6" max="6" width="4.5703125" style="7" customWidth="1"/>
    <col min="7" max="7" width="15.28515625" style="7" customWidth="1"/>
    <col min="8" max="8" width="15.85546875" style="7" customWidth="1"/>
    <col min="9" max="9" width="17.42578125" style="40" customWidth="1"/>
    <col min="10" max="10" width="9" style="64" customWidth="1"/>
    <col min="11" max="11" width="65" style="7" customWidth="1"/>
    <col min="12" max="12" width="11.42578125" style="7" customWidth="1"/>
    <col min="13" max="13" width="8.7109375" style="7"/>
    <col min="14" max="14" width="10.140625" style="7" customWidth="1"/>
    <col min="15" max="16384" width="8.7109375" style="7"/>
  </cols>
  <sheetData>
    <row r="1" spans="1:24" s="4" customFormat="1" ht="33" x14ac:dyDescent="0.3">
      <c r="A1" s="233" t="s">
        <v>0</v>
      </c>
      <c r="B1" s="234"/>
      <c r="C1" s="235"/>
      <c r="D1" s="236" t="s">
        <v>1</v>
      </c>
      <c r="E1" s="237"/>
      <c r="F1" s="237"/>
      <c r="G1" s="237"/>
      <c r="H1" s="237"/>
      <c r="I1" s="238"/>
      <c r="J1" s="35" t="s">
        <v>2</v>
      </c>
      <c r="K1" s="34" t="s">
        <v>3</v>
      </c>
      <c r="L1" s="36"/>
      <c r="M1" s="36"/>
      <c r="N1" s="36"/>
      <c r="O1" s="36"/>
      <c r="P1" s="36"/>
      <c r="Q1" s="36"/>
      <c r="R1" s="7"/>
      <c r="S1" s="7"/>
      <c r="T1" s="7"/>
      <c r="U1" s="7"/>
      <c r="V1" s="7"/>
      <c r="W1" s="7"/>
      <c r="X1" s="7"/>
    </row>
    <row r="2" spans="1:24" x14ac:dyDescent="0.3">
      <c r="A2" s="37" t="s">
        <v>80</v>
      </c>
      <c r="B2" s="37"/>
      <c r="C2" s="37"/>
      <c r="D2" s="38" t="s">
        <v>81</v>
      </c>
      <c r="I2" s="28" t="s">
        <v>11</v>
      </c>
      <c r="J2" s="39">
        <v>20</v>
      </c>
      <c r="K2" s="12"/>
    </row>
    <row r="3" spans="1:24" x14ac:dyDescent="0.3">
      <c r="A3" s="12"/>
      <c r="B3" s="12"/>
      <c r="C3" s="12"/>
      <c r="J3" s="41"/>
      <c r="K3" s="42"/>
    </row>
    <row r="4" spans="1:24" x14ac:dyDescent="0.3">
      <c r="A4" s="12"/>
      <c r="B4" s="12"/>
      <c r="C4" s="12"/>
      <c r="D4" s="43" t="s">
        <v>82</v>
      </c>
      <c r="E4" s="44"/>
      <c r="F4" s="43"/>
      <c r="G4" s="45">
        <v>0.8</v>
      </c>
      <c r="H4" s="46">
        <v>1</v>
      </c>
      <c r="J4" s="41"/>
      <c r="K4" s="42" t="s">
        <v>342</v>
      </c>
    </row>
    <row r="5" spans="1:24" ht="18" x14ac:dyDescent="0.3">
      <c r="A5" s="12"/>
      <c r="B5" s="12"/>
      <c r="C5" s="12"/>
      <c r="D5" s="12"/>
      <c r="F5" s="12"/>
      <c r="H5" s="12"/>
      <c r="J5" s="41"/>
      <c r="K5" s="42" t="s">
        <v>83</v>
      </c>
    </row>
    <row r="6" spans="1:24" x14ac:dyDescent="0.3">
      <c r="A6" s="12"/>
      <c r="B6" s="12"/>
      <c r="C6" s="12"/>
      <c r="D6" s="12" t="s">
        <v>84</v>
      </c>
      <c r="F6" s="12"/>
      <c r="G6" s="47">
        <v>20000</v>
      </c>
      <c r="H6" s="48">
        <f>G6/G4*H4</f>
        <v>25000</v>
      </c>
      <c r="I6" s="49" t="s">
        <v>14</v>
      </c>
      <c r="J6" s="41"/>
      <c r="K6" s="42" t="s">
        <v>85</v>
      </c>
    </row>
    <row r="7" spans="1:24" x14ac:dyDescent="0.3">
      <c r="A7" s="12"/>
      <c r="B7" s="12"/>
      <c r="C7" s="12"/>
      <c r="D7" s="12"/>
      <c r="F7" s="12"/>
      <c r="H7" s="12"/>
      <c r="J7" s="41"/>
      <c r="K7" s="42"/>
    </row>
    <row r="8" spans="1:24" x14ac:dyDescent="0.3">
      <c r="A8" s="12"/>
      <c r="B8" s="12"/>
      <c r="C8" s="12"/>
      <c r="D8" s="50" t="s">
        <v>86</v>
      </c>
      <c r="F8" s="12"/>
      <c r="H8" s="12"/>
      <c r="J8" s="41"/>
      <c r="K8" s="42" t="s">
        <v>343</v>
      </c>
    </row>
    <row r="9" spans="1:24" ht="18" x14ac:dyDescent="0.3">
      <c r="A9" s="12"/>
      <c r="B9" s="12"/>
      <c r="C9" s="12"/>
      <c r="D9" s="12" t="s">
        <v>87</v>
      </c>
      <c r="E9" s="51">
        <v>5</v>
      </c>
      <c r="F9" s="12" t="s">
        <v>88</v>
      </c>
      <c r="G9" s="52">
        <f>G6*E9</f>
        <v>100000</v>
      </c>
      <c r="H9" s="53">
        <f>H6*E9</f>
        <v>125000</v>
      </c>
      <c r="I9" s="49" t="s">
        <v>21</v>
      </c>
      <c r="J9" s="41"/>
      <c r="K9" s="42" t="s">
        <v>89</v>
      </c>
    </row>
    <row r="10" spans="1:24" x14ac:dyDescent="0.3">
      <c r="A10" s="12"/>
      <c r="B10" s="12"/>
      <c r="C10" s="12"/>
      <c r="D10" s="12" t="s">
        <v>90</v>
      </c>
      <c r="E10" s="51">
        <v>45</v>
      </c>
      <c r="F10" s="12" t="s">
        <v>91</v>
      </c>
      <c r="G10" s="52">
        <f>G6*E10</f>
        <v>900000</v>
      </c>
      <c r="H10" s="53">
        <f>H6*E10</f>
        <v>1125000</v>
      </c>
      <c r="I10" s="49" t="s">
        <v>21</v>
      </c>
      <c r="J10" s="41"/>
      <c r="K10" s="42" t="s">
        <v>92</v>
      </c>
    </row>
    <row r="11" spans="1:24" x14ac:dyDescent="0.3">
      <c r="A11" s="12"/>
      <c r="B11" s="12"/>
      <c r="C11" s="12"/>
      <c r="D11" s="12" t="s">
        <v>93</v>
      </c>
      <c r="F11" s="12" t="s">
        <v>94</v>
      </c>
      <c r="G11" s="54">
        <v>215000</v>
      </c>
      <c r="H11" s="55">
        <v>275000</v>
      </c>
      <c r="I11" s="49" t="s">
        <v>95</v>
      </c>
      <c r="J11" s="41"/>
      <c r="K11" s="42"/>
    </row>
    <row r="12" spans="1:24" x14ac:dyDescent="0.3">
      <c r="A12" s="12"/>
      <c r="B12" s="12"/>
      <c r="C12" s="12"/>
      <c r="D12" s="12" t="s">
        <v>96</v>
      </c>
      <c r="F12" s="12"/>
      <c r="G12" s="52">
        <f>SUM(G9:G11)</f>
        <v>1215000</v>
      </c>
      <c r="H12" s="53">
        <f>SUM(H9:H11)</f>
        <v>1525000</v>
      </c>
      <c r="J12" s="41"/>
      <c r="K12" s="42" t="s">
        <v>344</v>
      </c>
    </row>
    <row r="13" spans="1:24" x14ac:dyDescent="0.3">
      <c r="A13" s="12"/>
      <c r="B13" s="12"/>
      <c r="C13" s="12"/>
      <c r="D13" s="12"/>
      <c r="F13" s="12"/>
      <c r="G13" s="56" t="s">
        <v>97</v>
      </c>
      <c r="H13" s="57"/>
      <c r="J13" s="41"/>
      <c r="K13" s="42" t="s">
        <v>98</v>
      </c>
    </row>
    <row r="14" spans="1:24" x14ac:dyDescent="0.3">
      <c r="A14" s="12"/>
      <c r="B14" s="12"/>
      <c r="C14" s="12"/>
      <c r="D14" s="12" t="s">
        <v>99</v>
      </c>
      <c r="F14" s="12"/>
      <c r="G14" s="52">
        <v>35000</v>
      </c>
      <c r="H14" s="53">
        <v>35000</v>
      </c>
      <c r="I14" s="49" t="s">
        <v>14</v>
      </c>
      <c r="J14" s="41"/>
      <c r="K14" s="42" t="s">
        <v>100</v>
      </c>
    </row>
    <row r="15" spans="1:24" x14ac:dyDescent="0.3">
      <c r="A15" s="12"/>
      <c r="B15" s="12"/>
      <c r="C15" s="12"/>
      <c r="D15" s="12" t="s">
        <v>101</v>
      </c>
      <c r="F15" s="12"/>
      <c r="G15" s="52">
        <v>6000</v>
      </c>
      <c r="H15" s="53">
        <v>6000</v>
      </c>
      <c r="I15" s="49" t="s">
        <v>14</v>
      </c>
      <c r="J15" s="41"/>
      <c r="K15" s="42" t="s">
        <v>102</v>
      </c>
    </row>
    <row r="16" spans="1:24" x14ac:dyDescent="0.3">
      <c r="A16" s="12"/>
      <c r="B16" s="12"/>
      <c r="C16" s="12"/>
      <c r="D16" s="12" t="s">
        <v>103</v>
      </c>
      <c r="F16" s="12"/>
      <c r="G16" s="52">
        <v>5000</v>
      </c>
      <c r="H16" s="53">
        <v>5000</v>
      </c>
      <c r="I16" s="49" t="s">
        <v>14</v>
      </c>
      <c r="J16" s="41"/>
      <c r="K16" s="42"/>
    </row>
    <row r="17" spans="1:11" x14ac:dyDescent="0.3">
      <c r="A17" s="12"/>
      <c r="B17" s="12"/>
      <c r="C17" s="12"/>
      <c r="D17" s="12" t="s">
        <v>104</v>
      </c>
      <c r="F17" s="12"/>
      <c r="G17" s="52">
        <f>G6*4</f>
        <v>80000</v>
      </c>
      <c r="H17" s="53">
        <f>H6*4</f>
        <v>100000</v>
      </c>
      <c r="I17" s="49" t="s">
        <v>14</v>
      </c>
      <c r="J17" s="41"/>
      <c r="K17" s="42" t="s">
        <v>105</v>
      </c>
    </row>
    <row r="18" spans="1:11" x14ac:dyDescent="0.3">
      <c r="A18" s="12"/>
      <c r="B18" s="12"/>
      <c r="C18" s="12"/>
      <c r="D18" s="12" t="s">
        <v>106</v>
      </c>
      <c r="F18" s="12"/>
      <c r="G18" s="52">
        <v>3000</v>
      </c>
      <c r="H18" s="53">
        <v>3000</v>
      </c>
      <c r="I18" s="49" t="s">
        <v>14</v>
      </c>
      <c r="J18" s="41"/>
      <c r="K18" s="42" t="s">
        <v>107</v>
      </c>
    </row>
    <row r="19" spans="1:11" x14ac:dyDescent="0.3">
      <c r="A19" s="12"/>
      <c r="B19" s="12"/>
      <c r="C19" s="12"/>
      <c r="D19" s="12" t="s">
        <v>108</v>
      </c>
      <c r="F19" s="12"/>
      <c r="G19" s="54">
        <f>IF(G12&gt;1300000,G12*2%,G12*1.5%)</f>
        <v>18225</v>
      </c>
      <c r="H19" s="55">
        <f>IF(H12&gt;1300000,H12*2%,H12*1.5%)</f>
        <v>30500</v>
      </c>
      <c r="I19" s="49" t="s">
        <v>109</v>
      </c>
      <c r="J19" s="41"/>
      <c r="K19" s="42" t="s">
        <v>110</v>
      </c>
    </row>
    <row r="20" spans="1:11" x14ac:dyDescent="0.3">
      <c r="A20" s="12"/>
      <c r="B20" s="12"/>
      <c r="C20" s="12"/>
      <c r="D20" s="12"/>
      <c r="F20" s="12"/>
      <c r="G20" s="52">
        <f>SUM(G14:G19)</f>
        <v>147225</v>
      </c>
      <c r="H20" s="53">
        <f>SUM(H14:H19)</f>
        <v>179500</v>
      </c>
      <c r="J20" s="41"/>
      <c r="K20" s="42"/>
    </row>
    <row r="21" spans="1:11" x14ac:dyDescent="0.3">
      <c r="A21" s="12"/>
      <c r="B21" s="12"/>
      <c r="C21" s="12"/>
      <c r="D21" s="12"/>
      <c r="F21" s="12"/>
      <c r="G21" s="52"/>
      <c r="H21" s="53"/>
      <c r="J21" s="41"/>
      <c r="K21" s="42" t="s">
        <v>111</v>
      </c>
    </row>
    <row r="22" spans="1:11" x14ac:dyDescent="0.3">
      <c r="A22" s="12"/>
      <c r="B22" s="12"/>
      <c r="C22" s="12"/>
      <c r="D22" s="12" t="s">
        <v>112</v>
      </c>
      <c r="F22" s="12"/>
      <c r="G22" s="52">
        <f>G12+G20</f>
        <v>1362225</v>
      </c>
      <c r="H22" s="53">
        <f>H12+H20</f>
        <v>1704500</v>
      </c>
      <c r="J22" s="41"/>
      <c r="K22" s="42" t="s">
        <v>338</v>
      </c>
    </row>
    <row r="23" spans="1:11" x14ac:dyDescent="0.3">
      <c r="A23" s="12"/>
      <c r="B23" s="12"/>
      <c r="C23" s="12"/>
      <c r="D23" s="12"/>
      <c r="F23" s="12"/>
      <c r="G23" s="52"/>
      <c r="H23" s="53"/>
      <c r="J23" s="41"/>
      <c r="K23" s="42" t="s">
        <v>113</v>
      </c>
    </row>
    <row r="24" spans="1:11" x14ac:dyDescent="0.3">
      <c r="A24" s="12"/>
      <c r="B24" s="12"/>
      <c r="C24" s="12"/>
      <c r="D24" s="50" t="s">
        <v>114</v>
      </c>
      <c r="F24" s="12"/>
      <c r="G24" s="52"/>
      <c r="H24" s="53"/>
      <c r="J24" s="41"/>
      <c r="K24" s="42"/>
    </row>
    <row r="25" spans="1:11" x14ac:dyDescent="0.3">
      <c r="A25" s="12"/>
      <c r="B25" s="12"/>
      <c r="C25" s="12"/>
      <c r="D25" s="12" t="s">
        <v>115</v>
      </c>
      <c r="F25" s="12"/>
      <c r="G25" s="52">
        <f>G6*86</f>
        <v>1720000</v>
      </c>
      <c r="H25" s="53">
        <f>H6*86</f>
        <v>2150000</v>
      </c>
      <c r="I25" s="49" t="s">
        <v>14</v>
      </c>
      <c r="J25" s="41"/>
      <c r="K25" s="42" t="s">
        <v>116</v>
      </c>
    </row>
    <row r="26" spans="1:11" x14ac:dyDescent="0.3">
      <c r="A26" s="12"/>
      <c r="B26" s="12"/>
      <c r="C26" s="12"/>
      <c r="D26" s="12"/>
      <c r="F26" s="12"/>
      <c r="G26" s="52"/>
      <c r="H26" s="53"/>
      <c r="J26" s="41"/>
      <c r="K26" s="42" t="s">
        <v>117</v>
      </c>
    </row>
    <row r="27" spans="1:11" x14ac:dyDescent="0.3">
      <c r="A27" s="12"/>
      <c r="B27" s="12"/>
      <c r="C27" s="12"/>
      <c r="D27" s="59" t="s">
        <v>118</v>
      </c>
      <c r="E27" s="25"/>
      <c r="F27" s="22"/>
      <c r="G27" s="54">
        <f>G25-G22</f>
        <v>357775</v>
      </c>
      <c r="H27" s="55">
        <f>H25-H22</f>
        <v>445500</v>
      </c>
      <c r="I27" s="49" t="s">
        <v>14</v>
      </c>
      <c r="J27" s="41"/>
      <c r="K27" s="42" t="s">
        <v>119</v>
      </c>
    </row>
    <row r="28" spans="1:11" x14ac:dyDescent="0.3">
      <c r="A28" s="12"/>
      <c r="B28" s="12"/>
      <c r="C28" s="12"/>
      <c r="J28" s="41"/>
      <c r="K28" s="60"/>
    </row>
    <row r="29" spans="1:11" ht="33" x14ac:dyDescent="0.3">
      <c r="A29" s="22"/>
      <c r="B29" s="22"/>
      <c r="C29" s="22"/>
      <c r="D29" s="25"/>
      <c r="E29" s="25"/>
      <c r="F29" s="25"/>
      <c r="G29" s="25"/>
      <c r="H29" s="25"/>
      <c r="I29" s="61"/>
      <c r="J29" s="62"/>
      <c r="K29" s="63" t="s">
        <v>120</v>
      </c>
    </row>
    <row r="30" spans="1:11" x14ac:dyDescent="0.3">
      <c r="K30" s="65"/>
    </row>
  </sheetData>
  <mergeCells count="2">
    <mergeCell ref="A1:C1"/>
    <mergeCell ref="D1:I1"/>
  </mergeCells>
  <pageMargins left="0.7" right="0.7" top="0.75" bottom="0.75" header="0.3" footer="0.3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CC7D-19D5-4A48-B26A-1CD575E64FF6}">
  <sheetPr>
    <pageSetUpPr fitToPage="1"/>
  </sheetPr>
  <dimension ref="A1:V49"/>
  <sheetViews>
    <sheetView workbookViewId="0">
      <selection activeCell="I41" sqref="I41"/>
    </sheetView>
  </sheetViews>
  <sheetFormatPr defaultColWidth="8.7109375" defaultRowHeight="16.5" x14ac:dyDescent="0.3"/>
  <cols>
    <col min="1" max="1" width="4.7109375" style="11" customWidth="1"/>
    <col min="2" max="2" width="4.85546875" style="7" customWidth="1"/>
    <col min="3" max="3" width="4.5703125" style="7" customWidth="1"/>
    <col min="4" max="4" width="28.5703125" style="7" customWidth="1"/>
    <col min="5" max="5" width="16.85546875" style="7" customWidth="1"/>
    <col min="6" max="6" width="11.5703125" style="7" customWidth="1"/>
    <col min="7" max="7" width="7.140625" style="40" customWidth="1"/>
    <col min="8" max="8" width="8.7109375" style="64"/>
    <col min="9" max="9" width="49.85546875" style="13" customWidth="1"/>
    <col min="10" max="10" width="11.42578125" style="7" customWidth="1"/>
    <col min="11" max="11" width="8.7109375" style="7"/>
    <col min="12" max="12" width="10.140625" style="7" customWidth="1"/>
    <col min="13" max="16384" width="8.7109375" style="7"/>
  </cols>
  <sheetData>
    <row r="1" spans="1:22" s="4" customFormat="1" ht="33" x14ac:dyDescent="0.3">
      <c r="A1" s="233" t="s">
        <v>0</v>
      </c>
      <c r="B1" s="234"/>
      <c r="C1" s="235"/>
      <c r="D1" s="236" t="s">
        <v>1</v>
      </c>
      <c r="E1" s="237"/>
      <c r="F1" s="237"/>
      <c r="G1" s="238"/>
      <c r="H1" s="35" t="s">
        <v>2</v>
      </c>
      <c r="I1" s="34" t="s">
        <v>3</v>
      </c>
      <c r="J1" s="36"/>
      <c r="K1" s="36"/>
      <c r="L1" s="36"/>
      <c r="M1" s="36"/>
      <c r="N1" s="36"/>
      <c r="O1" s="36"/>
      <c r="P1" s="7"/>
      <c r="Q1" s="7"/>
      <c r="R1" s="7"/>
      <c r="S1" s="7"/>
      <c r="T1" s="7"/>
      <c r="U1" s="7"/>
      <c r="V1" s="7"/>
    </row>
    <row r="2" spans="1:22" x14ac:dyDescent="0.3">
      <c r="A2" s="37" t="s">
        <v>121</v>
      </c>
      <c r="B2" s="37"/>
      <c r="C2" s="37"/>
      <c r="D2" s="38" t="s">
        <v>122</v>
      </c>
      <c r="H2" s="39">
        <v>4</v>
      </c>
      <c r="I2" s="12"/>
    </row>
    <row r="3" spans="1:22" x14ac:dyDescent="0.3">
      <c r="A3" s="12"/>
      <c r="B3" s="13"/>
      <c r="C3" s="13"/>
      <c r="F3" s="66"/>
      <c r="H3" s="41"/>
      <c r="I3" s="42"/>
    </row>
    <row r="4" spans="1:22" x14ac:dyDescent="0.3">
      <c r="A4" s="12"/>
      <c r="B4" s="12" t="s">
        <v>5</v>
      </c>
      <c r="C4" s="13"/>
      <c r="D4" s="67" t="s">
        <v>123</v>
      </c>
      <c r="E4"/>
      <c r="H4" s="41"/>
      <c r="I4" s="42"/>
    </row>
    <row r="5" spans="1:22" x14ac:dyDescent="0.3">
      <c r="A5" s="12"/>
      <c r="B5" s="13"/>
      <c r="C5" s="13"/>
      <c r="D5"/>
      <c r="E5" s="68"/>
      <c r="F5" s="68" t="s">
        <v>124</v>
      </c>
      <c r="G5" s="49"/>
      <c r="H5" s="41"/>
      <c r="I5" s="42"/>
    </row>
    <row r="6" spans="1:22" x14ac:dyDescent="0.3">
      <c r="A6" s="12"/>
      <c r="B6" s="13"/>
      <c r="C6" s="13"/>
      <c r="D6" s="69" t="s">
        <v>125</v>
      </c>
      <c r="E6" s="69" t="s">
        <v>126</v>
      </c>
      <c r="F6" s="70">
        <f>7*5*5425</f>
        <v>189875</v>
      </c>
      <c r="G6" s="49" t="s">
        <v>127</v>
      </c>
      <c r="H6" s="41"/>
      <c r="I6" s="42"/>
    </row>
    <row r="7" spans="1:22" x14ac:dyDescent="0.3">
      <c r="A7" s="12"/>
      <c r="B7" s="13"/>
      <c r="C7" s="13"/>
      <c r="D7" s="69" t="s">
        <v>128</v>
      </c>
      <c r="E7" s="69" t="s">
        <v>129</v>
      </c>
      <c r="F7" s="70">
        <f>4*8*5425</f>
        <v>173600</v>
      </c>
      <c r="G7" s="49" t="s">
        <v>127</v>
      </c>
      <c r="H7" s="41"/>
      <c r="I7" s="42"/>
    </row>
    <row r="8" spans="1:22" x14ac:dyDescent="0.3">
      <c r="A8" s="12"/>
      <c r="B8" s="13"/>
      <c r="C8" s="13"/>
      <c r="D8" s="69" t="s">
        <v>130</v>
      </c>
      <c r="E8" s="69" t="s">
        <v>131</v>
      </c>
      <c r="F8" s="70">
        <f>40%*F7</f>
        <v>69440</v>
      </c>
      <c r="G8" s="49" t="s">
        <v>127</v>
      </c>
      <c r="H8" s="41"/>
      <c r="I8" s="13" t="s">
        <v>132</v>
      </c>
    </row>
    <row r="9" spans="1:22" x14ac:dyDescent="0.3">
      <c r="A9" s="12"/>
      <c r="B9" s="13"/>
      <c r="C9" s="13"/>
      <c r="D9" s="69" t="s">
        <v>133</v>
      </c>
      <c r="E9" s="69" t="s">
        <v>134</v>
      </c>
      <c r="F9" s="71">
        <f>5425*12</f>
        <v>65100</v>
      </c>
      <c r="G9" s="49" t="s">
        <v>127</v>
      </c>
      <c r="H9" s="41"/>
      <c r="I9" s="42"/>
    </row>
    <row r="10" spans="1:22" x14ac:dyDescent="0.3">
      <c r="A10" s="12"/>
      <c r="B10" s="13"/>
      <c r="C10" s="13"/>
      <c r="F10" s="70">
        <f>SUM(F6:F9)</f>
        <v>498015</v>
      </c>
      <c r="H10" s="41"/>
      <c r="I10" s="42"/>
    </row>
    <row r="11" spans="1:22" x14ac:dyDescent="0.3">
      <c r="A11" s="22"/>
      <c r="B11" s="23"/>
      <c r="C11" s="23"/>
      <c r="D11" s="25"/>
      <c r="E11" s="25"/>
      <c r="F11" s="72"/>
      <c r="G11" s="61"/>
      <c r="H11" s="62"/>
      <c r="I11" s="73"/>
    </row>
    <row r="12" spans="1:22" x14ac:dyDescent="0.3">
      <c r="B12" s="11" t="s">
        <v>70</v>
      </c>
      <c r="C12" s="11" t="s">
        <v>135</v>
      </c>
      <c r="D12" s="74" t="s">
        <v>136</v>
      </c>
      <c r="E12"/>
      <c r="F12" s="52"/>
      <c r="G12" s="49"/>
      <c r="H12" s="75">
        <v>3</v>
      </c>
      <c r="I12" s="76" t="s">
        <v>339</v>
      </c>
    </row>
    <row r="13" spans="1:22" x14ac:dyDescent="0.3">
      <c r="B13" s="11"/>
      <c r="C13" s="11"/>
      <c r="D13" s="74"/>
      <c r="E13"/>
      <c r="F13" s="52"/>
      <c r="G13" s="49"/>
      <c r="H13" s="75"/>
      <c r="I13" s="76"/>
    </row>
    <row r="14" spans="1:22" x14ac:dyDescent="0.3">
      <c r="B14" s="11"/>
      <c r="C14" s="12"/>
      <c r="D14" s="69" t="s">
        <v>137</v>
      </c>
      <c r="E14"/>
      <c r="F14" s="52"/>
      <c r="G14" s="49"/>
      <c r="H14" s="75"/>
      <c r="I14" s="12" t="s">
        <v>138</v>
      </c>
    </row>
    <row r="15" spans="1:22" x14ac:dyDescent="0.3">
      <c r="B15" s="11"/>
      <c r="C15" s="12"/>
      <c r="D15" s="69" t="s">
        <v>139</v>
      </c>
      <c r="E15" s="69" t="s">
        <v>140</v>
      </c>
      <c r="F15" s="52"/>
      <c r="G15" s="49"/>
      <c r="H15" s="75"/>
      <c r="I15" s="42"/>
    </row>
    <row r="16" spans="1:22" x14ac:dyDescent="0.3">
      <c r="B16" s="11"/>
      <c r="C16" s="12"/>
      <c r="D16" s="77">
        <f>(5-(195300/43400))*43400</f>
        <v>21700</v>
      </c>
      <c r="E16" s="7" t="s">
        <v>141</v>
      </c>
      <c r="G16" s="49"/>
      <c r="H16" s="75"/>
      <c r="I16" s="42"/>
    </row>
    <row r="17" spans="1:9" x14ac:dyDescent="0.3">
      <c r="A17" s="21"/>
      <c r="B17" s="21"/>
      <c r="C17" s="22"/>
      <c r="D17" s="25"/>
      <c r="E17" s="25"/>
      <c r="F17" s="54"/>
      <c r="G17" s="61"/>
      <c r="H17" s="78"/>
      <c r="I17" s="73"/>
    </row>
    <row r="18" spans="1:9" x14ac:dyDescent="0.3">
      <c r="B18" s="11"/>
      <c r="C18" s="12" t="s">
        <v>142</v>
      </c>
      <c r="D18" s="67" t="s">
        <v>143</v>
      </c>
      <c r="F18" s="52"/>
      <c r="H18" s="75">
        <v>2</v>
      </c>
      <c r="I18" s="76" t="s">
        <v>138</v>
      </c>
    </row>
    <row r="19" spans="1:9" x14ac:dyDescent="0.3">
      <c r="B19" s="11"/>
      <c r="C19" s="12"/>
      <c r="D19" s="69"/>
      <c r="F19" s="52"/>
      <c r="H19" s="75"/>
      <c r="I19" s="76"/>
    </row>
    <row r="20" spans="1:9" x14ac:dyDescent="0.3">
      <c r="B20" s="11"/>
      <c r="C20" s="12"/>
      <c r="D20" s="69" t="s">
        <v>144</v>
      </c>
      <c r="F20" s="52"/>
      <c r="H20" s="75"/>
      <c r="I20" s="239" t="s">
        <v>340</v>
      </c>
    </row>
    <row r="21" spans="1:9" x14ac:dyDescent="0.3">
      <c r="B21" s="11"/>
      <c r="C21" s="12"/>
      <c r="D21" s="69" t="s">
        <v>145</v>
      </c>
      <c r="F21" s="52"/>
      <c r="G21" s="49"/>
      <c r="H21" s="75"/>
      <c r="I21" s="239"/>
    </row>
    <row r="22" spans="1:9" x14ac:dyDescent="0.3">
      <c r="B22" s="11"/>
      <c r="C22" s="12"/>
      <c r="D22" s="77">
        <f>((5425*7)-43400)*5</f>
        <v>-27125</v>
      </c>
      <c r="E22" s="7" t="s">
        <v>146</v>
      </c>
      <c r="F22" s="52"/>
      <c r="H22" s="75"/>
      <c r="I22" s="42"/>
    </row>
    <row r="23" spans="1:9" x14ac:dyDescent="0.3">
      <c r="A23" s="21"/>
      <c r="B23" s="21"/>
      <c r="C23" s="22"/>
      <c r="D23" s="25"/>
      <c r="E23" s="25"/>
      <c r="F23" s="25"/>
      <c r="G23" s="61"/>
      <c r="H23" s="78"/>
      <c r="I23" s="63"/>
    </row>
    <row r="24" spans="1:9" x14ac:dyDescent="0.3">
      <c r="B24" s="11"/>
      <c r="C24" s="12" t="s">
        <v>147</v>
      </c>
      <c r="D24" s="67" t="s">
        <v>148</v>
      </c>
      <c r="H24" s="80">
        <v>3</v>
      </c>
      <c r="I24" s="76" t="s">
        <v>341</v>
      </c>
    </row>
    <row r="25" spans="1:9" x14ac:dyDescent="0.3">
      <c r="B25" s="11"/>
      <c r="C25" s="12"/>
      <c r="D25" s="81"/>
      <c r="H25" s="80"/>
      <c r="I25" s="76"/>
    </row>
    <row r="26" spans="1:9" x14ac:dyDescent="0.3">
      <c r="B26" s="11"/>
      <c r="C26" s="12"/>
      <c r="D26" s="69" t="s">
        <v>149</v>
      </c>
      <c r="H26" s="80"/>
      <c r="I26" s="12" t="s">
        <v>138</v>
      </c>
    </row>
    <row r="27" spans="1:9" x14ac:dyDescent="0.3">
      <c r="B27" s="11"/>
      <c r="C27" s="12"/>
      <c r="D27" s="69" t="s">
        <v>150</v>
      </c>
      <c r="H27" s="80"/>
      <c r="I27" s="12"/>
    </row>
    <row r="28" spans="1:9" x14ac:dyDescent="0.3">
      <c r="B28" s="11"/>
      <c r="C28" s="12"/>
      <c r="D28" s="77">
        <f>(8-(189875/27125))*27125</f>
        <v>27125</v>
      </c>
      <c r="E28" s="7" t="s">
        <v>141</v>
      </c>
      <c r="H28" s="80"/>
      <c r="I28" s="12"/>
    </row>
    <row r="29" spans="1:9" x14ac:dyDescent="0.3">
      <c r="A29" s="21"/>
      <c r="B29" s="21"/>
      <c r="C29" s="22"/>
      <c r="D29" s="25"/>
      <c r="E29" s="25"/>
      <c r="F29" s="25"/>
      <c r="G29" s="61"/>
      <c r="H29" s="78"/>
      <c r="I29" s="22"/>
    </row>
    <row r="30" spans="1:9" x14ac:dyDescent="0.3">
      <c r="B30" s="11"/>
      <c r="C30" s="12" t="s">
        <v>151</v>
      </c>
      <c r="D30" s="67" t="s">
        <v>152</v>
      </c>
      <c r="H30" s="75">
        <v>2</v>
      </c>
      <c r="I30" s="82" t="s">
        <v>138</v>
      </c>
    </row>
    <row r="31" spans="1:9" x14ac:dyDescent="0.3">
      <c r="B31" s="11"/>
      <c r="C31" s="12"/>
      <c r="D31" s="69"/>
      <c r="H31" s="75"/>
      <c r="I31" s="82"/>
    </row>
    <row r="32" spans="1:9" ht="33" x14ac:dyDescent="0.3">
      <c r="B32" s="11"/>
      <c r="C32" s="12"/>
      <c r="D32" s="69" t="s">
        <v>153</v>
      </c>
      <c r="H32" s="75"/>
      <c r="I32" s="79" t="s">
        <v>340</v>
      </c>
    </row>
    <row r="33" spans="1:9" x14ac:dyDescent="0.3">
      <c r="B33" s="11"/>
      <c r="C33" s="12"/>
      <c r="D33" s="77">
        <f>((4*5425)-27125)*8</f>
        <v>-43400</v>
      </c>
      <c r="E33" s="7" t="s">
        <v>146</v>
      </c>
      <c r="H33" s="75"/>
      <c r="I33" s="79"/>
    </row>
    <row r="34" spans="1:9" x14ac:dyDescent="0.3">
      <c r="A34" s="21"/>
      <c r="B34" s="21"/>
      <c r="C34" s="22"/>
      <c r="D34" s="25"/>
      <c r="E34" s="25"/>
      <c r="F34" s="25"/>
      <c r="G34" s="61"/>
      <c r="H34" s="78"/>
      <c r="I34" s="22"/>
    </row>
    <row r="35" spans="1:9" x14ac:dyDescent="0.3">
      <c r="B35" s="11"/>
      <c r="C35" s="12" t="s">
        <v>154</v>
      </c>
      <c r="D35" s="67" t="s">
        <v>155</v>
      </c>
      <c r="H35" s="75">
        <v>2</v>
      </c>
      <c r="I35" s="82" t="s">
        <v>138</v>
      </c>
    </row>
    <row r="36" spans="1:9" x14ac:dyDescent="0.3">
      <c r="B36" s="11"/>
      <c r="C36" s="12"/>
      <c r="D36" s="69"/>
      <c r="H36" s="75"/>
      <c r="I36" s="82"/>
    </row>
    <row r="37" spans="1:9" x14ac:dyDescent="0.3">
      <c r="B37" s="11"/>
      <c r="C37" s="12"/>
      <c r="D37" s="69" t="s">
        <v>156</v>
      </c>
      <c r="H37" s="75"/>
      <c r="I37" s="239" t="s">
        <v>340</v>
      </c>
    </row>
    <row r="38" spans="1:9" x14ac:dyDescent="0.3">
      <c r="B38" s="11"/>
      <c r="C38" s="12"/>
      <c r="D38" s="77">
        <f>(210-200)*5425</f>
        <v>54250</v>
      </c>
      <c r="E38" s="7" t="s">
        <v>141</v>
      </c>
      <c r="H38" s="75"/>
      <c r="I38" s="239"/>
    </row>
    <row r="39" spans="1:9" x14ac:dyDescent="0.3">
      <c r="A39" s="21"/>
      <c r="B39" s="21"/>
      <c r="C39" s="22"/>
      <c r="D39" s="25"/>
      <c r="E39" s="25"/>
      <c r="F39" s="25"/>
      <c r="G39" s="61"/>
      <c r="H39" s="78"/>
      <c r="I39" s="22"/>
    </row>
    <row r="40" spans="1:9" x14ac:dyDescent="0.3">
      <c r="B40" s="11"/>
      <c r="C40" s="12" t="s">
        <v>157</v>
      </c>
      <c r="D40" s="67" t="s">
        <v>158</v>
      </c>
      <c r="H40" s="75">
        <v>2</v>
      </c>
      <c r="I40" s="82" t="s">
        <v>138</v>
      </c>
    </row>
    <row r="41" spans="1:9" x14ac:dyDescent="0.3">
      <c r="B41" s="11"/>
      <c r="C41" s="12"/>
      <c r="D41" s="69"/>
      <c r="H41" s="75"/>
      <c r="I41" s="82"/>
    </row>
    <row r="42" spans="1:9" x14ac:dyDescent="0.3">
      <c r="B42" s="11"/>
      <c r="C42" s="12"/>
      <c r="D42" s="69" t="s">
        <v>159</v>
      </c>
      <c r="H42" s="75"/>
      <c r="I42" s="239" t="s">
        <v>340</v>
      </c>
    </row>
    <row r="43" spans="1:9" x14ac:dyDescent="0.3">
      <c r="B43" s="11"/>
      <c r="C43" s="12"/>
      <c r="D43" s="77">
        <f>(5425-5500)*200</f>
        <v>-15000</v>
      </c>
      <c r="E43" s="7" t="s">
        <v>146</v>
      </c>
      <c r="H43" s="75"/>
      <c r="I43" s="239"/>
    </row>
    <row r="44" spans="1:9" x14ac:dyDescent="0.3">
      <c r="A44" s="21"/>
      <c r="B44" s="21"/>
      <c r="C44" s="22"/>
      <c r="D44" s="25"/>
      <c r="E44" s="25"/>
      <c r="F44" s="25"/>
      <c r="G44" s="61"/>
      <c r="H44" s="78"/>
      <c r="I44" s="22"/>
    </row>
    <row r="45" spans="1:9" x14ac:dyDescent="0.3">
      <c r="B45" s="11"/>
      <c r="C45" s="12" t="s">
        <v>160</v>
      </c>
      <c r="D45" s="67" t="s">
        <v>161</v>
      </c>
      <c r="H45" s="75">
        <v>2</v>
      </c>
      <c r="I45" s="82" t="s">
        <v>138</v>
      </c>
    </row>
    <row r="46" spans="1:9" x14ac:dyDescent="0.3">
      <c r="B46" s="11"/>
      <c r="C46" s="12"/>
      <c r="D46" s="69"/>
      <c r="H46" s="75"/>
      <c r="I46" s="82"/>
    </row>
    <row r="47" spans="1:9" x14ac:dyDescent="0.3">
      <c r="B47" s="11"/>
      <c r="C47" s="12"/>
      <c r="D47" s="69" t="s">
        <v>162</v>
      </c>
      <c r="H47" s="75"/>
      <c r="I47" s="239" t="s">
        <v>340</v>
      </c>
    </row>
    <row r="48" spans="1:9" x14ac:dyDescent="0.3">
      <c r="B48" s="11"/>
      <c r="C48" s="12"/>
      <c r="D48" s="77">
        <f>(5500*12)-70525</f>
        <v>-4525</v>
      </c>
      <c r="E48" s="7" t="s">
        <v>146</v>
      </c>
      <c r="H48" s="75"/>
      <c r="I48" s="239"/>
    </row>
    <row r="49" spans="1:9" x14ac:dyDescent="0.3">
      <c r="A49" s="21"/>
      <c r="B49" s="21"/>
      <c r="C49" s="22"/>
      <c r="D49" s="25"/>
      <c r="E49" s="25"/>
      <c r="F49" s="25"/>
      <c r="G49" s="61"/>
      <c r="H49" s="62"/>
      <c r="I49" s="22"/>
    </row>
  </sheetData>
  <mergeCells count="6">
    <mergeCell ref="I47:I48"/>
    <mergeCell ref="A1:C1"/>
    <mergeCell ref="D1:G1"/>
    <mergeCell ref="I20:I21"/>
    <mergeCell ref="I37:I38"/>
    <mergeCell ref="I42:I43"/>
  </mergeCells>
  <pageMargins left="0.7" right="0.7" top="0.75" bottom="0.75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9D506-B857-4C91-BBD5-5399FC622B6E}">
  <sheetPr>
    <pageSetUpPr fitToPage="1"/>
  </sheetPr>
  <dimension ref="A1:CP38"/>
  <sheetViews>
    <sheetView topLeftCell="A8" workbookViewId="0">
      <selection activeCell="L33" sqref="L33"/>
    </sheetView>
  </sheetViews>
  <sheetFormatPr defaultColWidth="8.7109375" defaultRowHeight="16.5" x14ac:dyDescent="0.3"/>
  <cols>
    <col min="1" max="1" width="4.42578125" style="7" customWidth="1"/>
    <col min="2" max="2" width="4.5703125" style="7" customWidth="1"/>
    <col min="3" max="3" width="4.85546875" style="7" customWidth="1"/>
    <col min="4" max="4" width="24.140625" style="7" customWidth="1"/>
    <col min="5" max="5" width="12.85546875" style="7" customWidth="1"/>
    <col min="6" max="6" width="5.140625" style="7" customWidth="1"/>
    <col min="7" max="7" width="13.7109375" style="7" customWidth="1"/>
    <col min="8" max="8" width="13.42578125" style="7" customWidth="1"/>
    <col min="9" max="9" width="16.85546875" style="40" customWidth="1"/>
    <col min="10" max="10" width="17.42578125" style="40" customWidth="1"/>
    <col min="11" max="11" width="8.7109375" style="102"/>
    <col min="12" max="12" width="65" style="7" customWidth="1"/>
    <col min="13" max="16384" width="8.7109375" style="7"/>
  </cols>
  <sheetData>
    <row r="1" spans="1:94" s="4" customFormat="1" ht="33" x14ac:dyDescent="0.3">
      <c r="A1" s="241" t="s">
        <v>0</v>
      </c>
      <c r="B1" s="242"/>
      <c r="C1" s="243"/>
      <c r="D1" s="244" t="s">
        <v>1</v>
      </c>
      <c r="E1" s="245"/>
      <c r="F1" s="245"/>
      <c r="G1" s="245"/>
      <c r="H1" s="245"/>
      <c r="I1" s="246"/>
      <c r="J1" s="84"/>
      <c r="K1" s="85" t="s">
        <v>2</v>
      </c>
      <c r="L1" s="83" t="s">
        <v>3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</row>
    <row r="2" spans="1:94" s="94" customFormat="1" x14ac:dyDescent="0.3">
      <c r="A2" s="86">
        <v>3</v>
      </c>
      <c r="B2" s="87" t="s">
        <v>5</v>
      </c>
      <c r="C2" s="88" t="s">
        <v>135</v>
      </c>
      <c r="D2" s="89"/>
      <c r="E2" s="90"/>
      <c r="F2" s="90"/>
      <c r="G2" s="90"/>
      <c r="H2" s="90"/>
      <c r="I2" s="90"/>
      <c r="J2" s="91"/>
      <c r="K2" s="92">
        <v>3</v>
      </c>
      <c r="L2" s="9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</row>
    <row r="3" spans="1:94" ht="33" x14ac:dyDescent="0.3">
      <c r="A3" s="12"/>
      <c r="B3" s="12"/>
      <c r="C3" s="12"/>
      <c r="D3" s="95" t="s">
        <v>163</v>
      </c>
      <c r="E3" s="96">
        <f>4*1200</f>
        <v>4800</v>
      </c>
      <c r="F3" s="97" t="s">
        <v>164</v>
      </c>
      <c r="G3" s="98" t="s">
        <v>165</v>
      </c>
      <c r="H3" s="98" t="s">
        <v>165</v>
      </c>
      <c r="J3" s="99"/>
      <c r="K3" s="100"/>
      <c r="L3" s="12"/>
    </row>
    <row r="4" spans="1:94" x14ac:dyDescent="0.3">
      <c r="A4" s="12"/>
      <c r="B4" s="12"/>
      <c r="C4" s="12"/>
      <c r="D4" s="95" t="s">
        <v>166</v>
      </c>
      <c r="E4" s="96">
        <f>3*800</f>
        <v>2400</v>
      </c>
      <c r="F4" s="247" t="s">
        <v>167</v>
      </c>
      <c r="G4" s="98" t="s">
        <v>165</v>
      </c>
      <c r="H4" s="98" t="s">
        <v>165</v>
      </c>
      <c r="J4" s="99"/>
      <c r="L4" s="103" t="s">
        <v>168</v>
      </c>
    </row>
    <row r="5" spans="1:94" x14ac:dyDescent="0.3">
      <c r="A5" s="12"/>
      <c r="B5" s="12"/>
      <c r="C5" s="12"/>
      <c r="D5" s="95" t="s">
        <v>169</v>
      </c>
      <c r="E5" s="104">
        <f>2*400</f>
        <v>800</v>
      </c>
      <c r="F5" s="247"/>
      <c r="G5" s="98" t="s">
        <v>165</v>
      </c>
      <c r="H5" s="98" t="s">
        <v>165</v>
      </c>
      <c r="J5" s="99"/>
      <c r="L5" s="105" t="s">
        <v>345</v>
      </c>
    </row>
    <row r="6" spans="1:94" x14ac:dyDescent="0.3">
      <c r="A6" s="12"/>
      <c r="B6" s="12"/>
      <c r="C6" s="12"/>
      <c r="D6" s="106" t="s">
        <v>165</v>
      </c>
      <c r="E6" s="107">
        <f>SUM(E3:E5)</f>
        <v>8000</v>
      </c>
      <c r="F6" s="98" t="s">
        <v>165</v>
      </c>
      <c r="G6" s="98" t="s">
        <v>165</v>
      </c>
      <c r="H6" s="98" t="s">
        <v>165</v>
      </c>
      <c r="J6" s="99"/>
      <c r="K6" s="108"/>
      <c r="L6" s="42"/>
    </row>
    <row r="7" spans="1:94" x14ac:dyDescent="0.3">
      <c r="A7" s="12"/>
      <c r="B7" s="12"/>
      <c r="C7" s="12"/>
      <c r="D7" s="106" t="s">
        <v>165</v>
      </c>
      <c r="E7" s="109" t="s">
        <v>165</v>
      </c>
      <c r="F7" s="98" t="s">
        <v>165</v>
      </c>
      <c r="G7" s="98" t="s">
        <v>165</v>
      </c>
      <c r="H7" s="98" t="s">
        <v>165</v>
      </c>
      <c r="I7" s="49"/>
      <c r="J7" s="110"/>
      <c r="K7" s="108"/>
      <c r="L7" s="42"/>
    </row>
    <row r="8" spans="1:94" ht="16.5" customHeight="1" x14ac:dyDescent="0.3">
      <c r="A8" s="12"/>
      <c r="B8" s="12"/>
      <c r="C8" s="12"/>
      <c r="D8" s="248" t="s">
        <v>170</v>
      </c>
      <c r="E8" s="249"/>
      <c r="F8" s="249"/>
      <c r="G8" s="249"/>
      <c r="H8" s="112"/>
      <c r="J8" s="99"/>
      <c r="K8" s="108"/>
      <c r="L8" s="42"/>
    </row>
    <row r="9" spans="1:94" ht="15.75" customHeight="1" x14ac:dyDescent="0.3">
      <c r="A9" s="12"/>
      <c r="B9" s="12"/>
      <c r="C9" s="12"/>
      <c r="D9" s="113">
        <f>32000/E6</f>
        <v>4</v>
      </c>
      <c r="E9" s="249" t="s">
        <v>171</v>
      </c>
      <c r="F9" s="249"/>
      <c r="G9" s="249"/>
      <c r="H9" s="112" t="s">
        <v>172</v>
      </c>
      <c r="J9" s="99"/>
      <c r="K9" s="108"/>
      <c r="L9" s="42"/>
    </row>
    <row r="10" spans="1:94" s="25" customFormat="1" x14ac:dyDescent="0.3">
      <c r="A10" s="22"/>
      <c r="B10" s="22"/>
      <c r="C10" s="22"/>
      <c r="D10" s="21"/>
      <c r="E10" s="114"/>
      <c r="G10" s="54"/>
      <c r="H10" s="54"/>
      <c r="I10" s="115"/>
      <c r="J10" s="116"/>
      <c r="K10" s="117"/>
      <c r="L10" s="73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</row>
    <row r="11" spans="1:94" x14ac:dyDescent="0.3">
      <c r="A11" s="12"/>
      <c r="B11" s="12"/>
      <c r="C11" s="118" t="s">
        <v>142</v>
      </c>
      <c r="D11" s="119"/>
      <c r="E11" s="51"/>
      <c r="F11" s="51"/>
      <c r="H11" s="52"/>
      <c r="I11" s="52"/>
      <c r="J11" s="52"/>
      <c r="K11" s="120" t="s">
        <v>173</v>
      </c>
      <c r="L11" s="121"/>
    </row>
    <row r="12" spans="1:94" x14ac:dyDescent="0.3">
      <c r="A12" s="12"/>
      <c r="B12" s="12"/>
      <c r="C12" s="11"/>
      <c r="D12" s="106" t="s">
        <v>165</v>
      </c>
      <c r="E12" s="111" t="s">
        <v>174</v>
      </c>
      <c r="F12" s="111"/>
      <c r="G12" s="111" t="s">
        <v>175</v>
      </c>
      <c r="H12" s="111" t="s">
        <v>176</v>
      </c>
      <c r="I12" s="98" t="s">
        <v>165</v>
      </c>
      <c r="J12" s="98"/>
      <c r="K12" s="122"/>
      <c r="L12" s="12"/>
    </row>
    <row r="13" spans="1:94" x14ac:dyDescent="0.3">
      <c r="A13" s="12"/>
      <c r="B13" s="12"/>
      <c r="C13" s="11"/>
      <c r="D13" s="106" t="s">
        <v>165</v>
      </c>
      <c r="E13" s="109" t="s">
        <v>165</v>
      </c>
      <c r="F13" s="109"/>
      <c r="G13" s="109" t="s">
        <v>165</v>
      </c>
      <c r="H13" s="109" t="s">
        <v>165</v>
      </c>
      <c r="I13" s="123" t="s">
        <v>168</v>
      </c>
      <c r="J13" s="123"/>
      <c r="K13" s="122"/>
      <c r="L13" s="12"/>
    </row>
    <row r="14" spans="1:94" x14ac:dyDescent="0.3">
      <c r="A14" s="12"/>
      <c r="B14" s="12"/>
      <c r="C14" s="11"/>
      <c r="D14" s="95" t="s">
        <v>177</v>
      </c>
      <c r="E14" s="124">
        <v>46</v>
      </c>
      <c r="F14" s="124"/>
      <c r="G14" s="124">
        <v>58</v>
      </c>
      <c r="H14" s="124">
        <v>35</v>
      </c>
      <c r="I14" s="240" t="s">
        <v>167</v>
      </c>
      <c r="J14" s="125"/>
      <c r="K14" s="126"/>
      <c r="L14" s="76" t="s">
        <v>346</v>
      </c>
    </row>
    <row r="15" spans="1:94" x14ac:dyDescent="0.3">
      <c r="A15" s="12"/>
      <c r="B15" s="12"/>
      <c r="C15" s="11"/>
      <c r="D15" s="95" t="s">
        <v>178</v>
      </c>
      <c r="E15" s="124">
        <v>21</v>
      </c>
      <c r="F15" s="124"/>
      <c r="G15" s="124">
        <v>14</v>
      </c>
      <c r="H15" s="124">
        <v>7</v>
      </c>
      <c r="I15" s="240"/>
      <c r="J15" s="125"/>
      <c r="K15" s="126"/>
      <c r="L15" s="76" t="s">
        <v>347</v>
      </c>
    </row>
    <row r="16" spans="1:94" x14ac:dyDescent="0.3">
      <c r="A16" s="12"/>
      <c r="B16" s="12"/>
      <c r="C16" s="11"/>
      <c r="D16" s="95" t="s">
        <v>179</v>
      </c>
      <c r="E16" s="104">
        <v>16</v>
      </c>
      <c r="F16" s="125" t="s">
        <v>167</v>
      </c>
      <c r="G16" s="104">
        <v>12</v>
      </c>
      <c r="H16" s="104">
        <v>8</v>
      </c>
      <c r="I16" s="125" t="s">
        <v>167</v>
      </c>
      <c r="J16" s="125"/>
      <c r="K16" s="126"/>
      <c r="L16" s="12" t="s">
        <v>348</v>
      </c>
    </row>
    <row r="17" spans="1:94" x14ac:dyDescent="0.3">
      <c r="A17" s="12"/>
      <c r="B17" s="12"/>
      <c r="C17" s="11"/>
      <c r="D17" s="95" t="s">
        <v>180</v>
      </c>
      <c r="E17" s="127">
        <f>SUM(E14:E16)</f>
        <v>83</v>
      </c>
      <c r="F17" s="124"/>
      <c r="G17" s="127">
        <f>SUM(G14:G16)</f>
        <v>84</v>
      </c>
      <c r="H17" s="127">
        <f>SUM(H14:H16)</f>
        <v>50</v>
      </c>
      <c r="I17" s="97" t="s">
        <v>172</v>
      </c>
      <c r="J17" s="97"/>
      <c r="K17" s="126"/>
      <c r="L17" s="41"/>
    </row>
    <row r="18" spans="1:94" s="25" customFormat="1" x14ac:dyDescent="0.3">
      <c r="A18" s="22"/>
      <c r="B18" s="22"/>
      <c r="C18" s="22"/>
      <c r="H18" s="54"/>
      <c r="I18" s="54"/>
      <c r="J18" s="54"/>
      <c r="K18" s="128"/>
      <c r="L18" s="62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x14ac:dyDescent="0.3">
      <c r="A19" s="12"/>
      <c r="B19" s="12" t="s">
        <v>70</v>
      </c>
      <c r="C19" s="88" t="s">
        <v>135</v>
      </c>
      <c r="G19" s="52"/>
      <c r="H19" s="52"/>
      <c r="K19" s="121">
        <v>6</v>
      </c>
      <c r="L19" s="129"/>
    </row>
    <row r="20" spans="1:94" ht="30.75" x14ac:dyDescent="0.3">
      <c r="A20" s="12"/>
      <c r="B20" s="12"/>
      <c r="C20" s="12"/>
      <c r="D20" s="111" t="s">
        <v>181</v>
      </c>
      <c r="E20" s="98" t="s">
        <v>165</v>
      </c>
      <c r="F20" s="111"/>
      <c r="G20" s="111" t="s">
        <v>182</v>
      </c>
      <c r="H20" s="111" t="s">
        <v>183</v>
      </c>
      <c r="I20" s="130" t="s">
        <v>184</v>
      </c>
      <c r="J20" s="130"/>
      <c r="K20" s="131"/>
      <c r="L20" s="42"/>
    </row>
    <row r="21" spans="1:94" x14ac:dyDescent="0.3">
      <c r="A21" s="12"/>
      <c r="B21" s="12"/>
      <c r="C21" s="12"/>
      <c r="D21" s="111" t="s">
        <v>185</v>
      </c>
      <c r="E21" s="96">
        <v>12000</v>
      </c>
      <c r="F21" s="111"/>
      <c r="G21" s="111" t="s">
        <v>186</v>
      </c>
      <c r="H21" s="96">
        <f>E21/I21</f>
        <v>8000</v>
      </c>
      <c r="I21" s="132">
        <v>1.5</v>
      </c>
      <c r="J21" s="97" t="s">
        <v>172</v>
      </c>
      <c r="K21" s="75"/>
      <c r="L21" s="58"/>
    </row>
    <row r="22" spans="1:94" x14ac:dyDescent="0.3">
      <c r="A22" s="12"/>
      <c r="B22" s="12"/>
      <c r="C22" s="12"/>
      <c r="D22" s="111" t="s">
        <v>187</v>
      </c>
      <c r="E22" s="96">
        <v>4050</v>
      </c>
      <c r="F22" s="111"/>
      <c r="G22" s="111" t="s">
        <v>188</v>
      </c>
      <c r="H22" s="96">
        <f t="shared" ref="H22:H25" si="0">E22/I22</f>
        <v>15</v>
      </c>
      <c r="I22" s="132">
        <v>270</v>
      </c>
      <c r="J22" s="97" t="s">
        <v>172</v>
      </c>
      <c r="K22" s="75"/>
      <c r="L22" s="42"/>
    </row>
    <row r="23" spans="1:94" x14ac:dyDescent="0.3">
      <c r="A23" s="12"/>
      <c r="B23" s="12"/>
      <c r="C23" s="12"/>
      <c r="D23" s="111" t="s">
        <v>189</v>
      </c>
      <c r="E23" s="96">
        <v>5200</v>
      </c>
      <c r="F23" s="111"/>
      <c r="G23" s="111" t="s">
        <v>190</v>
      </c>
      <c r="H23" s="96">
        <f t="shared" si="0"/>
        <v>50</v>
      </c>
      <c r="I23" s="132">
        <v>104</v>
      </c>
      <c r="J23" s="97" t="s">
        <v>172</v>
      </c>
      <c r="K23" s="75"/>
      <c r="L23" s="42"/>
    </row>
    <row r="24" spans="1:94" x14ac:dyDescent="0.3">
      <c r="A24" s="12"/>
      <c r="B24" s="12"/>
      <c r="C24" s="12"/>
      <c r="D24" s="111" t="s">
        <v>191</v>
      </c>
      <c r="E24" s="96">
        <v>5250</v>
      </c>
      <c r="F24" s="111"/>
      <c r="G24" s="111" t="s">
        <v>188</v>
      </c>
      <c r="H24" s="96">
        <f t="shared" si="0"/>
        <v>15</v>
      </c>
      <c r="I24" s="132">
        <v>350</v>
      </c>
      <c r="J24" s="97" t="s">
        <v>172</v>
      </c>
      <c r="K24" s="75"/>
      <c r="L24" s="42"/>
    </row>
    <row r="25" spans="1:94" x14ac:dyDescent="0.3">
      <c r="A25" s="12"/>
      <c r="B25" s="12"/>
      <c r="C25" s="12"/>
      <c r="D25" s="249" t="s">
        <v>192</v>
      </c>
      <c r="E25" s="251">
        <v>5500</v>
      </c>
      <c r="F25" s="249"/>
      <c r="G25" s="249" t="s">
        <v>193</v>
      </c>
      <c r="H25" s="96">
        <f t="shared" si="0"/>
        <v>50</v>
      </c>
      <c r="I25" s="252">
        <v>110</v>
      </c>
      <c r="J25" s="250" t="s">
        <v>172</v>
      </c>
      <c r="K25" s="75"/>
      <c r="L25" s="42"/>
    </row>
    <row r="26" spans="1:94" x14ac:dyDescent="0.3">
      <c r="A26" s="12"/>
      <c r="B26" s="12"/>
      <c r="C26" s="12"/>
      <c r="D26" s="249"/>
      <c r="E26" s="251"/>
      <c r="F26" s="249"/>
      <c r="G26" s="249"/>
      <c r="H26" s="101" t="s">
        <v>194</v>
      </c>
      <c r="I26" s="252"/>
      <c r="J26" s="250"/>
      <c r="K26" s="75"/>
      <c r="L26" s="76" t="s">
        <v>349</v>
      </c>
    </row>
    <row r="27" spans="1:94" s="25" customFormat="1" x14ac:dyDescent="0.3">
      <c r="A27" s="22"/>
      <c r="B27" s="22"/>
      <c r="C27" s="22"/>
      <c r="D27" s="133"/>
      <c r="E27" s="104"/>
      <c r="F27" s="133"/>
      <c r="G27" s="133"/>
      <c r="H27" s="134"/>
      <c r="I27" s="104"/>
      <c r="J27" s="135"/>
      <c r="K27" s="78"/>
      <c r="L27" s="136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x14ac:dyDescent="0.3">
      <c r="A28" s="4"/>
      <c r="B28" s="4"/>
      <c r="C28" s="4" t="s">
        <v>142</v>
      </c>
      <c r="D28" s="130"/>
      <c r="E28" s="130"/>
      <c r="F28" s="130"/>
      <c r="G28" s="130"/>
      <c r="H28" s="130"/>
      <c r="I28" s="130"/>
      <c r="J28" s="130"/>
      <c r="K28" s="137">
        <v>12</v>
      </c>
      <c r="L28" s="60"/>
    </row>
    <row r="29" spans="1:94" x14ac:dyDescent="0.3">
      <c r="A29" s="12"/>
      <c r="B29" s="12"/>
      <c r="C29" s="12"/>
      <c r="D29" s="98" t="s">
        <v>165</v>
      </c>
      <c r="E29" s="111" t="s">
        <v>174</v>
      </c>
      <c r="F29" s="111"/>
      <c r="G29" s="111" t="s">
        <v>175</v>
      </c>
      <c r="H29" s="111" t="s">
        <v>176</v>
      </c>
      <c r="I29" s="98" t="s">
        <v>195</v>
      </c>
      <c r="J29" s="98"/>
      <c r="K29" s="138"/>
      <c r="L29" s="76" t="s">
        <v>350</v>
      </c>
    </row>
    <row r="30" spans="1:94" x14ac:dyDescent="0.3">
      <c r="A30" s="12"/>
      <c r="B30" s="12"/>
      <c r="C30" s="12"/>
      <c r="D30" s="111" t="s">
        <v>196</v>
      </c>
      <c r="E30" s="139">
        <f>I21*4</f>
        <v>6</v>
      </c>
      <c r="F30" s="140" t="s">
        <v>197</v>
      </c>
      <c r="G30" s="139">
        <f>I21*3</f>
        <v>4.5</v>
      </c>
      <c r="H30" s="139">
        <f>2*I21</f>
        <v>3</v>
      </c>
      <c r="I30" s="141" t="s">
        <v>198</v>
      </c>
      <c r="J30" s="141"/>
      <c r="K30" s="138"/>
      <c r="L30" s="76" t="s">
        <v>351</v>
      </c>
    </row>
    <row r="31" spans="1:94" x14ac:dyDescent="0.3">
      <c r="A31" s="12"/>
      <c r="B31" s="12"/>
      <c r="C31" s="12"/>
      <c r="D31" s="111" t="s">
        <v>199</v>
      </c>
      <c r="E31" s="139">
        <f>(6/1200)*I22</f>
        <v>1.35</v>
      </c>
      <c r="F31" s="140" t="s">
        <v>197</v>
      </c>
      <c r="G31" s="139">
        <f>(5/800)*I22</f>
        <v>1.6875</v>
      </c>
      <c r="H31" s="139">
        <f>(4/400)*I22</f>
        <v>2.7</v>
      </c>
      <c r="I31" s="141" t="s">
        <v>200</v>
      </c>
      <c r="J31" s="141"/>
      <c r="K31" s="138"/>
      <c r="L31" s="76" t="s">
        <v>352</v>
      </c>
    </row>
    <row r="32" spans="1:94" x14ac:dyDescent="0.3">
      <c r="A32" s="12"/>
      <c r="B32" s="12"/>
      <c r="C32" s="12"/>
      <c r="D32" s="111" t="s">
        <v>201</v>
      </c>
      <c r="E32" s="139">
        <f>(20/1200)*I23</f>
        <v>1.7333333333333334</v>
      </c>
      <c r="F32" s="140" t="s">
        <v>197</v>
      </c>
      <c r="G32" s="139">
        <f>(15/800)*I23</f>
        <v>1.95</v>
      </c>
      <c r="H32" s="139">
        <f>(15/400)*I23</f>
        <v>3.9</v>
      </c>
      <c r="I32" s="141" t="s">
        <v>198</v>
      </c>
      <c r="J32" s="141"/>
      <c r="K32" s="138"/>
      <c r="L32" s="76" t="s">
        <v>202</v>
      </c>
    </row>
    <row r="33" spans="1:12" x14ac:dyDescent="0.3">
      <c r="A33" s="12"/>
      <c r="B33" s="12"/>
      <c r="C33" s="12"/>
      <c r="D33" s="111" t="s">
        <v>203</v>
      </c>
      <c r="E33" s="139">
        <f>(6/1200)*I24</f>
        <v>1.75</v>
      </c>
      <c r="F33" s="140" t="s">
        <v>197</v>
      </c>
      <c r="G33" s="139">
        <f>(5/800)*I24</f>
        <v>2.1875</v>
      </c>
      <c r="H33" s="139">
        <f>(4/400)*I24</f>
        <v>3.5</v>
      </c>
      <c r="I33" s="141" t="s">
        <v>198</v>
      </c>
      <c r="J33" s="141"/>
      <c r="K33" s="138"/>
      <c r="L33" s="76" t="s">
        <v>353</v>
      </c>
    </row>
    <row r="34" spans="1:12" x14ac:dyDescent="0.3">
      <c r="A34" s="12"/>
      <c r="B34" s="12"/>
      <c r="C34" s="12"/>
      <c r="D34" s="111" t="s">
        <v>204</v>
      </c>
      <c r="E34" s="139">
        <f>(17/1200)*I25</f>
        <v>1.5583333333333333</v>
      </c>
      <c r="F34" s="140" t="s">
        <v>197</v>
      </c>
      <c r="G34" s="139">
        <f>(18/800)*I25</f>
        <v>2.4750000000000001</v>
      </c>
      <c r="H34" s="139">
        <f>(15/400)*I25</f>
        <v>4.125</v>
      </c>
      <c r="I34" s="141" t="s">
        <v>198</v>
      </c>
      <c r="J34" s="141"/>
      <c r="K34" s="138"/>
      <c r="L34" s="239" t="s">
        <v>205</v>
      </c>
    </row>
    <row r="35" spans="1:12" x14ac:dyDescent="0.3">
      <c r="A35" s="12"/>
      <c r="B35" s="12"/>
      <c r="C35" s="12"/>
      <c r="D35" s="111" t="s">
        <v>206</v>
      </c>
      <c r="E35" s="142">
        <v>46</v>
      </c>
      <c r="F35" s="143"/>
      <c r="G35" s="142">
        <v>58</v>
      </c>
      <c r="H35" s="142">
        <v>35</v>
      </c>
      <c r="I35" s="250" t="s">
        <v>207</v>
      </c>
      <c r="J35" s="97"/>
      <c r="K35" s="138"/>
      <c r="L35" s="239"/>
    </row>
    <row r="36" spans="1:12" x14ac:dyDescent="0.3">
      <c r="A36" s="12"/>
      <c r="B36" s="12"/>
      <c r="C36" s="12"/>
      <c r="D36" s="111" t="s">
        <v>208</v>
      </c>
      <c r="E36" s="144">
        <v>21</v>
      </c>
      <c r="F36" s="143"/>
      <c r="G36" s="144">
        <v>14</v>
      </c>
      <c r="H36" s="144">
        <v>7</v>
      </c>
      <c r="I36" s="250"/>
      <c r="J36" s="97"/>
      <c r="K36" s="138"/>
      <c r="L36" s="12"/>
    </row>
    <row r="37" spans="1:12" x14ac:dyDescent="0.3">
      <c r="A37" s="12"/>
      <c r="B37" s="12"/>
      <c r="C37" s="12"/>
      <c r="D37" s="111" t="s">
        <v>209</v>
      </c>
      <c r="E37" s="139">
        <f>SUM(E30:E36)</f>
        <v>79.391666666666666</v>
      </c>
      <c r="F37" s="111"/>
      <c r="G37" s="139">
        <f>SUM(G30:G36)</f>
        <v>84.8</v>
      </c>
      <c r="H37" s="139">
        <f>SUM(H30:H36)</f>
        <v>59.225000000000001</v>
      </c>
      <c r="I37" s="97" t="s">
        <v>210</v>
      </c>
      <c r="J37" s="97"/>
      <c r="K37" s="138"/>
      <c r="L37" s="12"/>
    </row>
    <row r="38" spans="1:12" x14ac:dyDescent="0.3">
      <c r="A38" s="22"/>
      <c r="B38" s="22"/>
      <c r="C38" s="22"/>
      <c r="D38" s="25"/>
      <c r="E38" s="25"/>
      <c r="F38" s="25"/>
      <c r="G38" s="25"/>
      <c r="H38" s="25"/>
      <c r="I38" s="61"/>
      <c r="J38" s="61"/>
      <c r="K38" s="78"/>
      <c r="L38" s="22"/>
    </row>
  </sheetData>
  <mergeCells count="14">
    <mergeCell ref="L34:L35"/>
    <mergeCell ref="I35:I36"/>
    <mergeCell ref="D25:D26"/>
    <mergeCell ref="E25:E26"/>
    <mergeCell ref="F25:F26"/>
    <mergeCell ref="G25:G26"/>
    <mergeCell ref="I25:I26"/>
    <mergeCell ref="J25:J26"/>
    <mergeCell ref="I14:I15"/>
    <mergeCell ref="A1:C1"/>
    <mergeCell ref="D1:I1"/>
    <mergeCell ref="F4:F5"/>
    <mergeCell ref="D8:G8"/>
    <mergeCell ref="E9:G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A7E1-48BA-4575-B13B-8F684E47238A}">
  <sheetPr>
    <pageSetUpPr fitToPage="1"/>
  </sheetPr>
  <dimension ref="A1:R24"/>
  <sheetViews>
    <sheetView topLeftCell="F1" workbookViewId="0">
      <selection activeCell="L12" sqref="L12"/>
    </sheetView>
  </sheetViews>
  <sheetFormatPr defaultColWidth="8.7109375" defaultRowHeight="16.5" x14ac:dyDescent="0.3"/>
  <cols>
    <col min="1" max="1" width="5" style="7" customWidth="1"/>
    <col min="2" max="2" width="5.140625" style="7" customWidth="1"/>
    <col min="3" max="3" width="4.28515625" style="7" customWidth="1"/>
    <col min="4" max="4" width="8.7109375" style="7"/>
    <col min="5" max="5" width="12" style="7" customWidth="1"/>
    <col min="6" max="6" width="17.42578125" style="40" customWidth="1"/>
    <col min="7" max="8" width="8.7109375" style="7"/>
    <col min="9" max="9" width="11.42578125" style="7" customWidth="1"/>
    <col min="10" max="10" width="12.5703125" style="7" customWidth="1"/>
    <col min="11" max="11" width="8.85546875" style="7" customWidth="1"/>
    <col min="12" max="12" width="52.5703125" style="7" customWidth="1"/>
    <col min="13" max="16384" width="8.7109375" style="7"/>
  </cols>
  <sheetData>
    <row r="1" spans="1:18" ht="29.1" customHeight="1" x14ac:dyDescent="0.3">
      <c r="A1" s="233" t="s">
        <v>0</v>
      </c>
      <c r="B1" s="234"/>
      <c r="C1" s="235"/>
      <c r="D1" s="253" t="s">
        <v>1</v>
      </c>
      <c r="E1" s="253"/>
      <c r="F1" s="253"/>
      <c r="G1" s="253"/>
      <c r="H1" s="253"/>
      <c r="I1" s="253"/>
      <c r="J1" s="145"/>
      <c r="K1" s="35" t="s">
        <v>2</v>
      </c>
      <c r="L1" s="34" t="s">
        <v>3</v>
      </c>
      <c r="M1" s="36"/>
      <c r="N1" s="36"/>
      <c r="O1" s="36"/>
      <c r="P1" s="36"/>
      <c r="Q1" s="36"/>
      <c r="R1" s="36"/>
    </row>
    <row r="2" spans="1:18" x14ac:dyDescent="0.3">
      <c r="A2" s="86">
        <v>3</v>
      </c>
      <c r="B2" s="88" t="s">
        <v>211</v>
      </c>
      <c r="C2" s="146" t="s">
        <v>135</v>
      </c>
      <c r="D2" s="147"/>
      <c r="E2" s="147"/>
      <c r="F2" s="147"/>
      <c r="G2" s="147"/>
      <c r="H2" s="147"/>
      <c r="I2" s="147"/>
      <c r="J2" s="147"/>
      <c r="K2" s="148">
        <v>2</v>
      </c>
      <c r="L2" s="76" t="s">
        <v>354</v>
      </c>
      <c r="M2" s="36"/>
      <c r="N2" s="36"/>
      <c r="O2" s="36"/>
      <c r="P2" s="36"/>
      <c r="Q2" s="36"/>
      <c r="R2" s="36"/>
    </row>
    <row r="3" spans="1:18" ht="34.5" customHeight="1" x14ac:dyDescent="0.3">
      <c r="A3" s="12"/>
      <c r="B3" s="12"/>
      <c r="C3" s="13"/>
      <c r="D3" s="249" t="s">
        <v>212</v>
      </c>
      <c r="E3" s="249"/>
      <c r="F3" s="249"/>
      <c r="G3" s="249"/>
      <c r="H3" s="249"/>
      <c r="I3" s="249"/>
      <c r="J3" s="249"/>
      <c r="K3" s="12"/>
      <c r="L3" s="12"/>
    </row>
    <row r="4" spans="1:18" x14ac:dyDescent="0.3">
      <c r="A4" s="12"/>
      <c r="B4" s="12"/>
      <c r="C4" s="13"/>
      <c r="D4" s="69"/>
      <c r="K4" s="12"/>
      <c r="L4" s="12"/>
    </row>
    <row r="5" spans="1:18" ht="34.5" customHeight="1" x14ac:dyDescent="0.3">
      <c r="A5" s="12"/>
      <c r="B5" s="12"/>
      <c r="C5" s="13"/>
      <c r="D5" s="249" t="s">
        <v>213</v>
      </c>
      <c r="E5" s="249"/>
      <c r="F5" s="249"/>
      <c r="G5" s="249"/>
      <c r="H5" s="249"/>
      <c r="I5" s="249"/>
      <c r="J5" s="249"/>
      <c r="K5" s="12"/>
      <c r="L5" s="12"/>
    </row>
    <row r="6" spans="1:18" x14ac:dyDescent="0.3">
      <c r="A6" s="12"/>
      <c r="B6" s="12"/>
      <c r="C6" s="13"/>
      <c r="D6" s="69"/>
      <c r="K6" s="12"/>
      <c r="L6" s="12"/>
    </row>
    <row r="7" spans="1:18" ht="33" customHeight="1" x14ac:dyDescent="0.3">
      <c r="A7" s="12"/>
      <c r="B7" s="12"/>
      <c r="C7" s="13"/>
      <c r="D7" s="249" t="s">
        <v>214</v>
      </c>
      <c r="E7" s="249"/>
      <c r="F7" s="249"/>
      <c r="G7" s="249"/>
      <c r="H7" s="249"/>
      <c r="I7" s="249"/>
      <c r="J7" s="249"/>
      <c r="K7" s="12"/>
      <c r="L7" s="12"/>
    </row>
    <row r="8" spans="1:18" x14ac:dyDescent="0.3">
      <c r="A8" s="12"/>
      <c r="B8" s="12"/>
      <c r="C8" s="13"/>
      <c r="D8" s="69"/>
      <c r="K8" s="12"/>
      <c r="L8" s="12"/>
    </row>
    <row r="9" spans="1:18" ht="33.75" customHeight="1" x14ac:dyDescent="0.3">
      <c r="A9" s="12"/>
      <c r="B9" s="12"/>
      <c r="C9" s="13"/>
      <c r="D9" s="249" t="s">
        <v>215</v>
      </c>
      <c r="E9" s="249"/>
      <c r="F9" s="249"/>
      <c r="G9" s="249"/>
      <c r="H9" s="249"/>
      <c r="I9" s="249"/>
      <c r="J9" s="249"/>
      <c r="K9" s="12"/>
      <c r="L9" s="12"/>
    </row>
    <row r="10" spans="1:18" x14ac:dyDescent="0.3">
      <c r="A10" s="22"/>
      <c r="B10" s="22"/>
      <c r="C10" s="23"/>
      <c r="D10" s="25"/>
      <c r="E10" s="25"/>
      <c r="F10" s="61"/>
      <c r="G10" s="25"/>
      <c r="H10" s="25"/>
      <c r="I10" s="25"/>
      <c r="J10" s="25"/>
      <c r="K10" s="22"/>
      <c r="L10" s="22"/>
    </row>
    <row r="11" spans="1:18" x14ac:dyDescent="0.3">
      <c r="A11" s="12"/>
      <c r="B11" s="12"/>
      <c r="C11" s="13"/>
      <c r="K11" s="12"/>
      <c r="L11" s="12"/>
    </row>
    <row r="12" spans="1:18" x14ac:dyDescent="0.3">
      <c r="A12" s="12"/>
      <c r="B12" s="12"/>
      <c r="C12" s="13" t="s">
        <v>142</v>
      </c>
      <c r="K12" s="75">
        <v>3</v>
      </c>
      <c r="L12" s="12" t="s">
        <v>355</v>
      </c>
    </row>
    <row r="13" spans="1:18" x14ac:dyDescent="0.3">
      <c r="A13" s="12"/>
      <c r="B13" s="12"/>
      <c r="C13" s="13"/>
      <c r="D13" s="69" t="s">
        <v>216</v>
      </c>
      <c r="K13" s="12"/>
      <c r="L13" s="12"/>
    </row>
    <row r="14" spans="1:18" x14ac:dyDescent="0.3">
      <c r="A14" s="12"/>
      <c r="B14" s="12"/>
      <c r="C14" s="13"/>
      <c r="D14" s="69"/>
      <c r="K14" s="12"/>
      <c r="L14" s="12"/>
    </row>
    <row r="15" spans="1:18" x14ac:dyDescent="0.3">
      <c r="A15" s="12"/>
      <c r="B15" s="12"/>
      <c r="C15" s="13"/>
      <c r="D15" s="69" t="s">
        <v>217</v>
      </c>
      <c r="K15" s="12"/>
      <c r="L15" s="12"/>
    </row>
    <row r="16" spans="1:18" x14ac:dyDescent="0.3">
      <c r="A16" s="12"/>
      <c r="B16" s="12"/>
      <c r="C16" s="13"/>
      <c r="D16" s="69"/>
      <c r="K16" s="12"/>
      <c r="L16" s="12"/>
    </row>
    <row r="17" spans="1:12" x14ac:dyDescent="0.3">
      <c r="A17" s="12"/>
      <c r="B17" s="12"/>
      <c r="C17" s="13"/>
      <c r="D17" s="69" t="s">
        <v>218</v>
      </c>
      <c r="K17" s="12"/>
      <c r="L17" s="12"/>
    </row>
    <row r="18" spans="1:12" x14ac:dyDescent="0.3">
      <c r="A18" s="12"/>
      <c r="B18" s="12"/>
      <c r="C18" s="13"/>
      <c r="D18" s="69"/>
      <c r="K18" s="12"/>
      <c r="L18" s="12"/>
    </row>
    <row r="19" spans="1:12" x14ac:dyDescent="0.3">
      <c r="A19" s="12"/>
      <c r="B19" s="12"/>
      <c r="C19" s="13"/>
      <c r="D19" s="69" t="s">
        <v>219</v>
      </c>
      <c r="K19" s="12"/>
      <c r="L19" s="12"/>
    </row>
    <row r="20" spans="1:12" x14ac:dyDescent="0.3">
      <c r="A20" s="12"/>
      <c r="B20" s="12"/>
      <c r="C20" s="13"/>
      <c r="D20" s="69"/>
      <c r="K20" s="12"/>
      <c r="L20" s="12"/>
    </row>
    <row r="21" spans="1:12" ht="48.75" customHeight="1" x14ac:dyDescent="0.3">
      <c r="A21" s="12"/>
      <c r="B21" s="12"/>
      <c r="C21" s="13"/>
      <c r="D21" s="249" t="s">
        <v>220</v>
      </c>
      <c r="E21" s="249"/>
      <c r="F21" s="249"/>
      <c r="G21" s="249"/>
      <c r="H21" s="249"/>
      <c r="I21" s="249"/>
      <c r="J21" s="249"/>
      <c r="K21" s="12"/>
      <c r="L21" s="12"/>
    </row>
    <row r="22" spans="1:12" x14ac:dyDescent="0.3">
      <c r="A22" s="12"/>
      <c r="B22" s="12"/>
      <c r="C22" s="13"/>
      <c r="D22" s="69"/>
      <c r="K22" s="12"/>
      <c r="L22" s="12"/>
    </row>
    <row r="23" spans="1:12" ht="48" customHeight="1" x14ac:dyDescent="0.3">
      <c r="A23" s="12"/>
      <c r="B23" s="12"/>
      <c r="C23" s="13"/>
      <c r="D23" s="249" t="s">
        <v>221</v>
      </c>
      <c r="E23" s="249"/>
      <c r="F23" s="249"/>
      <c r="G23" s="249"/>
      <c r="H23" s="249"/>
      <c r="I23" s="249"/>
      <c r="J23" s="249"/>
      <c r="K23" s="12"/>
      <c r="L23" s="13"/>
    </row>
    <row r="24" spans="1:12" x14ac:dyDescent="0.3">
      <c r="A24" s="22"/>
      <c r="B24" s="22"/>
      <c r="C24" s="22"/>
      <c r="D24" s="25"/>
      <c r="E24" s="25"/>
      <c r="F24" s="61"/>
      <c r="G24" s="25"/>
      <c r="H24" s="25"/>
      <c r="I24" s="25"/>
      <c r="J24" s="25"/>
      <c r="K24" s="22"/>
      <c r="L24" s="22"/>
    </row>
  </sheetData>
  <mergeCells count="8">
    <mergeCell ref="D21:J21"/>
    <mergeCell ref="D23:J23"/>
    <mergeCell ref="A1:C1"/>
    <mergeCell ref="D1:I1"/>
    <mergeCell ref="D3:J3"/>
    <mergeCell ref="D5:J5"/>
    <mergeCell ref="D7:J7"/>
    <mergeCell ref="D9:J9"/>
  </mergeCells>
  <pageMargins left="0.7" right="0.7" top="0.75" bottom="0.75" header="0.3" footer="0.3"/>
  <pageSetup paperSize="9" scale="8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7425C-6EF9-4996-9444-ED8E6F2AAA48}">
  <sheetPr>
    <pageSetUpPr fitToPage="1"/>
  </sheetPr>
  <dimension ref="A1:BJ103"/>
  <sheetViews>
    <sheetView tabSelected="1" workbookViewId="0">
      <selection activeCell="H9" sqref="H9"/>
    </sheetView>
  </sheetViews>
  <sheetFormatPr defaultColWidth="8.7109375" defaultRowHeight="16.5" x14ac:dyDescent="0.3"/>
  <cols>
    <col min="1" max="1" width="4.42578125" style="7" customWidth="1"/>
    <col min="2" max="2" width="4.5703125" style="7" customWidth="1"/>
    <col min="3" max="3" width="4" style="7" customWidth="1"/>
    <col min="4" max="4" width="38.7109375" style="7" customWidth="1"/>
    <col min="5" max="5" width="9.5703125" style="7" customWidth="1"/>
    <col min="6" max="6" width="9.28515625" style="7" customWidth="1"/>
    <col min="7" max="7" width="12.85546875" style="7" customWidth="1"/>
    <col min="8" max="8" width="9.7109375" style="7" customWidth="1"/>
    <col min="9" max="9" width="17.42578125" style="40" customWidth="1"/>
    <col min="10" max="10" width="8.7109375" style="64"/>
    <col min="11" max="11" width="65" style="7" customWidth="1"/>
    <col min="12" max="12" width="11.42578125" style="7" customWidth="1"/>
    <col min="13" max="13" width="8.7109375" style="7"/>
    <col min="14" max="14" width="10.140625" style="7" customWidth="1"/>
    <col min="15" max="16384" width="8.7109375" style="7"/>
  </cols>
  <sheetData>
    <row r="1" spans="1:62" s="4" customFormat="1" ht="33" x14ac:dyDescent="0.3">
      <c r="A1" s="233" t="s">
        <v>0</v>
      </c>
      <c r="B1" s="234"/>
      <c r="C1" s="235"/>
      <c r="D1" s="236" t="s">
        <v>1</v>
      </c>
      <c r="E1" s="237"/>
      <c r="F1" s="237"/>
      <c r="G1" s="237"/>
      <c r="H1" s="237"/>
      <c r="I1" s="238"/>
      <c r="J1" s="35" t="s">
        <v>2</v>
      </c>
      <c r="K1" s="34" t="s">
        <v>3</v>
      </c>
      <c r="L1" s="36"/>
      <c r="M1" s="36"/>
      <c r="N1" s="36"/>
      <c r="O1" s="36"/>
      <c r="P1" s="36"/>
      <c r="Q1" s="36"/>
      <c r="R1" s="7"/>
      <c r="S1" s="7"/>
      <c r="T1" s="7"/>
      <c r="U1" s="7"/>
      <c r="V1" s="7"/>
      <c r="W1" s="7"/>
      <c r="X1" s="7"/>
      <c r="Y1" s="7"/>
      <c r="Z1" s="9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62" x14ac:dyDescent="0.3">
      <c r="A2" s="37" t="s">
        <v>222</v>
      </c>
      <c r="B2" s="4" t="s">
        <v>5</v>
      </c>
      <c r="C2" s="37"/>
      <c r="D2" s="38"/>
      <c r="J2" s="39">
        <v>12</v>
      </c>
      <c r="K2" s="4"/>
    </row>
    <row r="3" spans="1:62" x14ac:dyDescent="0.3">
      <c r="A3" s="12"/>
      <c r="B3" s="12"/>
      <c r="C3" s="12"/>
      <c r="D3" s="149" t="s">
        <v>223</v>
      </c>
      <c r="E3"/>
      <c r="F3"/>
      <c r="G3"/>
      <c r="H3"/>
      <c r="I3"/>
      <c r="J3" s="150"/>
      <c r="K3" s="151" t="s">
        <v>360</v>
      </c>
    </row>
    <row r="4" spans="1:62" x14ac:dyDescent="0.3">
      <c r="A4" s="12"/>
      <c r="B4" s="12"/>
      <c r="C4" s="12"/>
      <c r="D4"/>
      <c r="E4" s="152" t="s">
        <v>10</v>
      </c>
      <c r="F4"/>
      <c r="G4" s="152" t="s">
        <v>10</v>
      </c>
      <c r="H4"/>
      <c r="I4" s="152"/>
      <c r="J4" s="150"/>
      <c r="K4" s="151"/>
    </row>
    <row r="5" spans="1:62" x14ac:dyDescent="0.3">
      <c r="A5" s="12"/>
      <c r="B5" s="12"/>
      <c r="C5" s="12"/>
      <c r="D5" s="69"/>
      <c r="E5"/>
      <c r="F5"/>
      <c r="G5"/>
      <c r="H5"/>
      <c r="I5"/>
      <c r="J5" s="150"/>
      <c r="K5" s="151"/>
    </row>
    <row r="6" spans="1:62" x14ac:dyDescent="0.3">
      <c r="A6" s="12"/>
      <c r="B6" s="12"/>
      <c r="C6" s="12"/>
      <c r="D6" s="69" t="s">
        <v>224</v>
      </c>
      <c r="E6" s="153">
        <v>2500</v>
      </c>
      <c r="F6" s="154" t="s">
        <v>91</v>
      </c>
      <c r="H6"/>
      <c r="I6"/>
      <c r="J6" s="150"/>
      <c r="K6" s="151" t="s">
        <v>361</v>
      </c>
    </row>
    <row r="7" spans="1:62" x14ac:dyDescent="0.3">
      <c r="A7" s="12"/>
      <c r="B7" s="12"/>
      <c r="C7" s="12"/>
      <c r="D7" s="69"/>
      <c r="E7" s="155"/>
      <c r="F7"/>
      <c r="G7"/>
      <c r="H7"/>
      <c r="I7"/>
      <c r="J7" s="150"/>
      <c r="K7" s="76"/>
    </row>
    <row r="8" spans="1:62" x14ac:dyDescent="0.3">
      <c r="A8" s="12"/>
      <c r="B8" s="12"/>
      <c r="C8" s="12"/>
      <c r="D8" s="69" t="s">
        <v>225</v>
      </c>
      <c r="E8" s="153">
        <v>5000</v>
      </c>
      <c r="F8" s="154" t="s">
        <v>88</v>
      </c>
      <c r="G8" s="69"/>
      <c r="H8"/>
      <c r="I8"/>
      <c r="J8" s="150"/>
      <c r="K8" s="239" t="s">
        <v>226</v>
      </c>
    </row>
    <row r="9" spans="1:62" x14ac:dyDescent="0.3">
      <c r="A9" s="12"/>
      <c r="B9" s="12"/>
      <c r="C9" s="12"/>
      <c r="D9" s="69" t="s">
        <v>227</v>
      </c>
      <c r="E9" s="156">
        <v>100</v>
      </c>
      <c r="F9" s="157" t="s">
        <v>14</v>
      </c>
      <c r="G9" s="153">
        <f>SUM(E6:E9)</f>
        <v>7600</v>
      </c>
      <c r="H9" s="269" t="s">
        <v>88</v>
      </c>
      <c r="I9"/>
      <c r="J9" s="150"/>
      <c r="K9" s="239"/>
    </row>
    <row r="10" spans="1:62" x14ac:dyDescent="0.3">
      <c r="A10" s="12"/>
      <c r="B10" s="12"/>
      <c r="C10" s="12"/>
      <c r="D10" s="69"/>
      <c r="E10" s="153"/>
      <c r="F10"/>
      <c r="G10" s="153"/>
      <c r="H10" s="155"/>
      <c r="I10"/>
      <c r="J10" s="150"/>
      <c r="K10" s="150"/>
    </row>
    <row r="11" spans="1:62" x14ac:dyDescent="0.3">
      <c r="A11" s="12"/>
      <c r="B11" s="12"/>
      <c r="C11" s="12"/>
      <c r="D11" s="158" t="s">
        <v>228</v>
      </c>
      <c r="E11" s="159"/>
      <c r="F11" s="159"/>
      <c r="G11" s="156">
        <v>1880</v>
      </c>
      <c r="H11" s="157" t="s">
        <v>229</v>
      </c>
      <c r="I11"/>
      <c r="J11" s="150"/>
      <c r="K11" s="150"/>
    </row>
    <row r="12" spans="1:62" x14ac:dyDescent="0.3">
      <c r="A12" s="12"/>
      <c r="B12" s="12"/>
      <c r="C12" s="12"/>
      <c r="D12"/>
      <c r="E12" s="153"/>
      <c r="F12"/>
      <c r="G12" s="153">
        <f>G9-G11</f>
        <v>5720</v>
      </c>
      <c r="H12" s="153"/>
      <c r="I12"/>
      <c r="J12" s="150"/>
      <c r="K12" s="150"/>
    </row>
    <row r="13" spans="1:62" x14ac:dyDescent="0.3">
      <c r="A13" s="12"/>
      <c r="B13" s="12"/>
      <c r="C13" s="12"/>
      <c r="D13" s="69"/>
      <c r="E13" s="153"/>
      <c r="F13"/>
      <c r="G13" s="153"/>
      <c r="H13" s="153"/>
      <c r="I13"/>
      <c r="J13" s="150"/>
      <c r="K13" s="150"/>
    </row>
    <row r="14" spans="1:62" x14ac:dyDescent="0.3">
      <c r="A14" s="12"/>
      <c r="B14" s="12"/>
      <c r="C14" s="12"/>
      <c r="D14" s="69" t="s">
        <v>230</v>
      </c>
      <c r="E14" s="153">
        <v>1050</v>
      </c>
      <c r="F14" t="s">
        <v>231</v>
      </c>
      <c r="G14" s="153"/>
      <c r="H14" s="153"/>
      <c r="I14"/>
      <c r="J14" s="150"/>
      <c r="K14" s="150"/>
    </row>
    <row r="15" spans="1:62" x14ac:dyDescent="0.3">
      <c r="A15" s="12"/>
      <c r="B15" s="12"/>
      <c r="C15" s="12"/>
      <c r="D15" s="69" t="s">
        <v>232</v>
      </c>
      <c r="E15" s="156">
        <v>2000</v>
      </c>
      <c r="F15" s="160" t="s">
        <v>233</v>
      </c>
      <c r="G15" s="156">
        <f>E14+E15</f>
        <v>3050</v>
      </c>
      <c r="H15" s="153"/>
      <c r="I15"/>
      <c r="J15" s="150"/>
      <c r="K15" s="150"/>
    </row>
    <row r="16" spans="1:62" x14ac:dyDescent="0.3">
      <c r="A16" s="12"/>
      <c r="B16" s="12"/>
      <c r="C16" s="12"/>
      <c r="D16" s="6" t="s">
        <v>223</v>
      </c>
      <c r="E16" s="153"/>
      <c r="F16"/>
      <c r="G16" s="161">
        <f>G12+G15</f>
        <v>8770</v>
      </c>
      <c r="H16" s="153"/>
      <c r="I16"/>
      <c r="J16" s="150"/>
      <c r="K16" s="150"/>
    </row>
    <row r="17" spans="1:11" x14ac:dyDescent="0.3">
      <c r="A17" s="22"/>
      <c r="B17" s="22"/>
      <c r="C17" s="22"/>
      <c r="D17" s="25"/>
      <c r="E17" s="25"/>
      <c r="F17" s="25"/>
      <c r="G17" s="54"/>
      <c r="H17" s="156"/>
      <c r="I17" s="115"/>
      <c r="J17" s="41"/>
      <c r="K17" s="42"/>
    </row>
    <row r="18" spans="1:11" x14ac:dyDescent="0.3">
      <c r="A18" s="12"/>
      <c r="B18" s="12"/>
      <c r="C18" s="12"/>
      <c r="D18" s="149" t="s">
        <v>234</v>
      </c>
      <c r="E18"/>
      <c r="F18"/>
      <c r="G18"/>
      <c r="H18"/>
      <c r="I18"/>
      <c r="J18" s="162"/>
      <c r="K18" s="129"/>
    </row>
    <row r="19" spans="1:11" x14ac:dyDescent="0.3">
      <c r="A19" s="12"/>
      <c r="B19" s="12"/>
      <c r="C19" s="12"/>
      <c r="D19"/>
      <c r="E19" s="152" t="s">
        <v>10</v>
      </c>
      <c r="F19"/>
      <c r="G19"/>
      <c r="H19"/>
      <c r="I19" s="163"/>
      <c r="J19" s="41"/>
      <c r="K19" s="58"/>
    </row>
    <row r="20" spans="1:11" x14ac:dyDescent="0.3">
      <c r="A20" s="12"/>
      <c r="B20" s="12"/>
      <c r="C20" s="12"/>
      <c r="D20" s="69" t="s">
        <v>232</v>
      </c>
      <c r="E20" s="153">
        <v>5000</v>
      </c>
      <c r="F20" s="160" t="s">
        <v>233</v>
      </c>
      <c r="G20"/>
      <c r="H20"/>
      <c r="I20"/>
      <c r="J20" s="41"/>
      <c r="K20" s="42"/>
    </row>
    <row r="21" spans="1:11" x14ac:dyDescent="0.3">
      <c r="A21" s="12"/>
      <c r="B21" s="12"/>
      <c r="C21" s="12"/>
      <c r="D21" s="69" t="s">
        <v>235</v>
      </c>
      <c r="E21" s="153">
        <v>1170</v>
      </c>
      <c r="F21" s="69" t="s">
        <v>236</v>
      </c>
      <c r="G21" s="69"/>
      <c r="H21"/>
      <c r="I21"/>
      <c r="J21" s="41"/>
      <c r="K21" s="42"/>
    </row>
    <row r="22" spans="1:11" x14ac:dyDescent="0.3">
      <c r="A22" s="12"/>
      <c r="B22" s="12"/>
      <c r="C22" s="12"/>
      <c r="D22" s="40" t="s">
        <v>237</v>
      </c>
      <c r="E22" s="153">
        <v>300</v>
      </c>
      <c r="F22" t="s">
        <v>231</v>
      </c>
      <c r="G22" s="64"/>
      <c r="H22" s="130"/>
      <c r="I22" s="7"/>
      <c r="J22" s="12"/>
      <c r="K22" s="12"/>
    </row>
    <row r="23" spans="1:11" x14ac:dyDescent="0.3">
      <c r="A23" s="12"/>
      <c r="B23" s="12"/>
      <c r="C23" s="12"/>
      <c r="D23" s="40" t="s">
        <v>238</v>
      </c>
      <c r="E23" s="153">
        <v>918</v>
      </c>
      <c r="F23" t="s">
        <v>239</v>
      </c>
      <c r="G23" s="64"/>
      <c r="H23" s="112"/>
      <c r="I23" s="7"/>
      <c r="J23" s="12"/>
      <c r="K23" s="12"/>
    </row>
    <row r="24" spans="1:11" x14ac:dyDescent="0.3">
      <c r="A24" s="12"/>
      <c r="B24" s="12"/>
      <c r="C24" s="12"/>
      <c r="E24" s="161">
        <f>SUM(E20:E23)</f>
        <v>7388</v>
      </c>
      <c r="F24"/>
      <c r="G24" s="164"/>
      <c r="H24"/>
      <c r="I24"/>
      <c r="J24" s="41"/>
      <c r="K24" s="165"/>
    </row>
    <row r="25" spans="1:11" x14ac:dyDescent="0.3">
      <c r="A25" s="25"/>
      <c r="B25" s="22"/>
      <c r="C25" s="22"/>
      <c r="D25" s="25"/>
      <c r="E25" s="156"/>
      <c r="F25" s="25"/>
      <c r="G25" s="25"/>
      <c r="H25" s="25"/>
      <c r="I25" s="61"/>
      <c r="J25" s="62"/>
      <c r="K25" s="166"/>
    </row>
    <row r="26" spans="1:11" x14ac:dyDescent="0.3">
      <c r="A26" s="12"/>
      <c r="C26" s="12"/>
      <c r="D26" s="67" t="s">
        <v>240</v>
      </c>
      <c r="E26"/>
      <c r="J26" s="162"/>
      <c r="K26" s="4"/>
    </row>
    <row r="27" spans="1:11" x14ac:dyDescent="0.3">
      <c r="A27" s="12"/>
      <c r="C27" s="12"/>
      <c r="D27"/>
      <c r="E27" s="152" t="s">
        <v>10</v>
      </c>
      <c r="J27" s="41"/>
      <c r="K27" s="12"/>
    </row>
    <row r="28" spans="1:11" x14ac:dyDescent="0.3">
      <c r="A28" s="12"/>
      <c r="C28" s="12"/>
      <c r="D28" s="69" t="s">
        <v>241</v>
      </c>
      <c r="E28" s="153">
        <v>3000</v>
      </c>
      <c r="F28" s="7" t="s">
        <v>242</v>
      </c>
      <c r="J28" s="41"/>
      <c r="K28" s="12"/>
    </row>
    <row r="29" spans="1:11" x14ac:dyDescent="0.3">
      <c r="A29" s="12"/>
      <c r="C29" s="12"/>
      <c r="D29" s="69" t="s">
        <v>243</v>
      </c>
      <c r="E29" s="153">
        <v>2730</v>
      </c>
      <c r="F29" s="7" t="s">
        <v>244</v>
      </c>
      <c r="J29" s="41"/>
      <c r="K29" s="12"/>
    </row>
    <row r="30" spans="1:11" x14ac:dyDescent="0.3">
      <c r="A30" s="12"/>
      <c r="C30" s="12"/>
      <c r="D30" s="69" t="s">
        <v>245</v>
      </c>
      <c r="E30" s="153">
        <v>150</v>
      </c>
      <c r="F30" s="7" t="s">
        <v>246</v>
      </c>
      <c r="J30" s="41"/>
      <c r="K30" s="12"/>
    </row>
    <row r="31" spans="1:11" x14ac:dyDescent="0.3">
      <c r="A31" s="12"/>
      <c r="C31" s="12"/>
      <c r="D31" s="69" t="s">
        <v>247</v>
      </c>
      <c r="E31" s="153">
        <v>102</v>
      </c>
      <c r="F31" s="7" t="s">
        <v>248</v>
      </c>
      <c r="J31" s="41"/>
      <c r="K31" s="12"/>
    </row>
    <row r="32" spans="1:11" x14ac:dyDescent="0.3">
      <c r="A32" s="12"/>
      <c r="C32" s="12"/>
      <c r="D32" s="69" t="s">
        <v>249</v>
      </c>
      <c r="E32" s="153">
        <v>150</v>
      </c>
      <c r="F32" s="254" t="s">
        <v>250</v>
      </c>
      <c r="G32" s="254"/>
      <c r="J32" s="41"/>
      <c r="K32" s="151" t="s">
        <v>362</v>
      </c>
    </row>
    <row r="33" spans="1:11" x14ac:dyDescent="0.3">
      <c r="A33" s="12"/>
      <c r="C33" s="12"/>
      <c r="D33" s="69" t="s">
        <v>251</v>
      </c>
      <c r="E33" s="153">
        <v>750</v>
      </c>
      <c r="F33" s="254"/>
      <c r="G33" s="254"/>
      <c r="J33" s="41"/>
      <c r="K33" s="239" t="s">
        <v>363</v>
      </c>
    </row>
    <row r="34" spans="1:11" x14ac:dyDescent="0.3">
      <c r="A34" s="12"/>
      <c r="C34" s="12"/>
      <c r="D34" s="69" t="s">
        <v>252</v>
      </c>
      <c r="E34" s="156">
        <v>-100</v>
      </c>
      <c r="F34" s="168" t="s">
        <v>23</v>
      </c>
      <c r="G34" s="168"/>
      <c r="J34" s="41"/>
      <c r="K34" s="239"/>
    </row>
    <row r="35" spans="1:11" ht="16.5" customHeight="1" x14ac:dyDescent="0.3">
      <c r="A35" s="12"/>
      <c r="C35" s="12"/>
      <c r="D35"/>
      <c r="E35" s="169">
        <f>SUM(E28:E34)</f>
        <v>6782</v>
      </c>
      <c r="J35" s="41"/>
      <c r="K35" s="170"/>
    </row>
    <row r="36" spans="1:11" x14ac:dyDescent="0.3">
      <c r="A36" s="22"/>
      <c r="B36" s="25"/>
      <c r="C36" s="22"/>
      <c r="D36" s="25"/>
      <c r="E36" s="25"/>
      <c r="F36" s="25"/>
      <c r="G36" s="25"/>
      <c r="H36" s="25"/>
      <c r="I36" s="61"/>
      <c r="J36" s="62"/>
      <c r="K36" s="171"/>
    </row>
    <row r="37" spans="1:11" x14ac:dyDescent="0.3">
      <c r="A37" s="4"/>
      <c r="C37" s="4"/>
      <c r="D37" s="67" t="s">
        <v>253</v>
      </c>
      <c r="E37"/>
      <c r="F37"/>
      <c r="J37" s="162"/>
      <c r="K37" s="4"/>
    </row>
    <row r="38" spans="1:11" x14ac:dyDescent="0.3">
      <c r="A38" s="12"/>
      <c r="C38" s="12"/>
      <c r="D38" s="69"/>
      <c r="E38" s="152" t="s">
        <v>10</v>
      </c>
      <c r="F38"/>
      <c r="J38" s="41"/>
      <c r="K38" s="12"/>
    </row>
    <row r="39" spans="1:11" x14ac:dyDescent="0.3">
      <c r="A39" s="12"/>
      <c r="C39" s="12"/>
      <c r="D39" s="67" t="s">
        <v>254</v>
      </c>
      <c r="E39" s="153">
        <v>10000</v>
      </c>
      <c r="F39"/>
      <c r="J39" s="41"/>
      <c r="K39" s="12"/>
    </row>
    <row r="40" spans="1:11" x14ac:dyDescent="0.3">
      <c r="A40" s="12"/>
      <c r="C40" s="12"/>
      <c r="D40" s="69" t="s">
        <v>255</v>
      </c>
      <c r="E40" s="153">
        <f>E39*20%</f>
        <v>2000</v>
      </c>
      <c r="F40"/>
      <c r="J40" s="41"/>
      <c r="K40" s="12"/>
    </row>
    <row r="41" spans="1:11" x14ac:dyDescent="0.3">
      <c r="A41" s="12"/>
      <c r="C41" s="12"/>
      <c r="D41" s="69" t="s">
        <v>256</v>
      </c>
      <c r="E41" s="153">
        <f>E39*30%</f>
        <v>3000</v>
      </c>
      <c r="F41"/>
      <c r="J41" s="41"/>
      <c r="K41" s="12"/>
    </row>
    <row r="42" spans="1:11" x14ac:dyDescent="0.3">
      <c r="A42" s="12"/>
      <c r="C42" s="12"/>
      <c r="D42" s="69" t="s">
        <v>257</v>
      </c>
      <c r="E42" s="153">
        <f>E39*50%</f>
        <v>5000</v>
      </c>
      <c r="F42" s="7" t="s">
        <v>258</v>
      </c>
      <c r="J42" s="41"/>
      <c r="K42" s="12"/>
    </row>
    <row r="43" spans="1:11" x14ac:dyDescent="0.3">
      <c r="A43" s="12"/>
      <c r="C43" s="12"/>
      <c r="D43" s="69"/>
      <c r="E43" s="172"/>
      <c r="F43"/>
      <c r="J43" s="41"/>
      <c r="K43" s="12"/>
    </row>
    <row r="44" spans="1:11" x14ac:dyDescent="0.3">
      <c r="A44" s="12"/>
      <c r="C44" s="12"/>
      <c r="D44" s="69"/>
      <c r="E44" s="172"/>
      <c r="F44"/>
      <c r="J44" s="41"/>
      <c r="K44" s="12"/>
    </row>
    <row r="45" spans="1:11" x14ac:dyDescent="0.3">
      <c r="A45" s="12"/>
      <c r="C45" s="12"/>
      <c r="D45" s="67" t="s">
        <v>259</v>
      </c>
      <c r="E45" s="153">
        <v>4200</v>
      </c>
      <c r="F45"/>
      <c r="J45" s="41"/>
      <c r="K45" s="12"/>
    </row>
    <row r="46" spans="1:11" x14ac:dyDescent="0.3">
      <c r="A46" s="12"/>
      <c r="C46" s="12"/>
      <c r="D46" s="69" t="s">
        <v>260</v>
      </c>
      <c r="E46" s="156">
        <v>300</v>
      </c>
      <c r="F46" s="173"/>
      <c r="J46" s="41"/>
      <c r="K46" s="12"/>
    </row>
    <row r="47" spans="1:11" x14ac:dyDescent="0.3">
      <c r="A47" s="12"/>
      <c r="C47" s="12"/>
      <c r="D47"/>
      <c r="E47" s="156">
        <f>E45-E46</f>
        <v>3900</v>
      </c>
      <c r="F47"/>
      <c r="J47" s="41"/>
      <c r="K47" s="12"/>
    </row>
    <row r="48" spans="1:11" x14ac:dyDescent="0.3">
      <c r="A48" s="12"/>
      <c r="C48" s="12"/>
      <c r="D48"/>
      <c r="E48" s="174"/>
      <c r="F48"/>
      <c r="J48" s="41"/>
      <c r="K48" s="12"/>
    </row>
    <row r="49" spans="1:11" x14ac:dyDescent="0.3">
      <c r="A49" s="12"/>
      <c r="C49" s="12"/>
      <c r="D49" s="69" t="s">
        <v>261</v>
      </c>
      <c r="E49" s="153">
        <f>E47*30%</f>
        <v>1170</v>
      </c>
      <c r="F49"/>
      <c r="J49" s="41"/>
      <c r="K49" s="12"/>
    </row>
    <row r="50" spans="1:11" x14ac:dyDescent="0.3">
      <c r="A50" s="12"/>
      <c r="C50" s="12"/>
      <c r="D50" s="7" t="s">
        <v>262</v>
      </c>
      <c r="E50" s="153">
        <f>E47*70%</f>
        <v>2730</v>
      </c>
      <c r="F50" s="7" t="s">
        <v>263</v>
      </c>
      <c r="J50" s="41"/>
      <c r="K50" s="12"/>
    </row>
    <row r="51" spans="1:11" x14ac:dyDescent="0.3">
      <c r="A51" s="22"/>
      <c r="B51" s="25"/>
      <c r="C51" s="22"/>
      <c r="D51" s="25"/>
      <c r="E51" s="25"/>
      <c r="F51" s="25"/>
      <c r="G51" s="25"/>
      <c r="H51" s="25"/>
      <c r="I51" s="61"/>
      <c r="J51" s="62"/>
      <c r="K51" s="22"/>
    </row>
    <row r="52" spans="1:11" x14ac:dyDescent="0.3">
      <c r="A52" s="4"/>
      <c r="C52" s="4"/>
      <c r="D52" s="67" t="s">
        <v>264</v>
      </c>
      <c r="E52" s="152" t="s">
        <v>10</v>
      </c>
      <c r="J52" s="162"/>
      <c r="K52" s="4"/>
    </row>
    <row r="53" spans="1:11" x14ac:dyDescent="0.3">
      <c r="A53" s="12"/>
      <c r="C53" s="12"/>
      <c r="D53" s="69" t="s">
        <v>265</v>
      </c>
      <c r="E53" s="153">
        <v>10000</v>
      </c>
      <c r="J53" s="41"/>
      <c r="K53" s="12"/>
    </row>
    <row r="54" spans="1:11" x14ac:dyDescent="0.3">
      <c r="A54" s="12"/>
      <c r="C54" s="12"/>
      <c r="D54" s="69" t="s">
        <v>266</v>
      </c>
      <c r="E54" s="153">
        <f>E53*15%</f>
        <v>1500</v>
      </c>
      <c r="F54" s="175" t="s">
        <v>267</v>
      </c>
      <c r="J54" s="41"/>
      <c r="K54" s="12"/>
    </row>
    <row r="55" spans="1:11" x14ac:dyDescent="0.3">
      <c r="A55" s="12"/>
      <c r="C55" s="12"/>
      <c r="D55"/>
      <c r="E55" s="153"/>
      <c r="J55" s="41"/>
      <c r="K55" s="12"/>
    </row>
    <row r="56" spans="1:11" x14ac:dyDescent="0.3">
      <c r="A56" s="12"/>
      <c r="C56" s="12"/>
      <c r="D56" s="69"/>
      <c r="E56" s="153"/>
      <c r="J56" s="41"/>
      <c r="K56" s="12"/>
    </row>
    <row r="57" spans="1:11" x14ac:dyDescent="0.3">
      <c r="A57" s="12"/>
      <c r="C57" s="12"/>
      <c r="D57" s="69" t="s">
        <v>268</v>
      </c>
      <c r="E57" s="153">
        <f>E54*70%</f>
        <v>1050</v>
      </c>
      <c r="J57" s="41"/>
      <c r="K57" s="12"/>
    </row>
    <row r="58" spans="1:11" x14ac:dyDescent="0.3">
      <c r="A58" s="12"/>
      <c r="C58" s="12"/>
      <c r="D58" s="69" t="s">
        <v>269</v>
      </c>
      <c r="E58" s="153">
        <f>E54*20%</f>
        <v>300</v>
      </c>
      <c r="J58" s="41"/>
      <c r="K58" s="12"/>
    </row>
    <row r="59" spans="1:11" x14ac:dyDescent="0.3">
      <c r="A59" s="12"/>
      <c r="C59" s="12"/>
      <c r="D59" s="69" t="s">
        <v>270</v>
      </c>
      <c r="E59" s="153">
        <f>E54*10%</f>
        <v>150</v>
      </c>
      <c r="F59" s="7" t="s">
        <v>258</v>
      </c>
      <c r="J59" s="41"/>
      <c r="K59" s="12"/>
    </row>
    <row r="60" spans="1:11" x14ac:dyDescent="0.3">
      <c r="A60" s="12"/>
      <c r="C60" s="12"/>
      <c r="D60" s="69"/>
      <c r="E60" s="172"/>
      <c r="J60" s="41"/>
      <c r="K60" s="12"/>
    </row>
    <row r="61" spans="1:11" x14ac:dyDescent="0.3">
      <c r="A61" s="12"/>
      <c r="C61" s="12"/>
      <c r="D61" s="67" t="s">
        <v>271</v>
      </c>
      <c r="E61" s="172"/>
      <c r="J61" s="41"/>
      <c r="K61" s="12"/>
    </row>
    <row r="62" spans="1:11" x14ac:dyDescent="0.3">
      <c r="A62" s="12"/>
      <c r="C62" s="12"/>
      <c r="D62" s="69" t="s">
        <v>265</v>
      </c>
      <c r="E62" s="153">
        <v>6000</v>
      </c>
      <c r="J62" s="41"/>
      <c r="K62" s="12"/>
    </row>
    <row r="63" spans="1:11" x14ac:dyDescent="0.3">
      <c r="A63" s="12"/>
      <c r="C63" s="12"/>
      <c r="D63" s="69" t="s">
        <v>272</v>
      </c>
      <c r="E63" s="156">
        <v>900</v>
      </c>
      <c r="J63" s="41"/>
      <c r="K63" s="12"/>
    </row>
    <row r="64" spans="1:11" x14ac:dyDescent="0.3">
      <c r="A64" s="12"/>
      <c r="C64" s="12"/>
      <c r="D64" s="69" t="s">
        <v>61</v>
      </c>
      <c r="E64" s="153">
        <f>E62-E63</f>
        <v>5100</v>
      </c>
      <c r="J64" s="41"/>
      <c r="K64" s="12"/>
    </row>
    <row r="65" spans="1:11" x14ac:dyDescent="0.3">
      <c r="A65" s="12"/>
      <c r="C65" s="12"/>
      <c r="D65" s="69" t="s">
        <v>273</v>
      </c>
      <c r="E65" s="153">
        <f>E64*20%</f>
        <v>1020</v>
      </c>
      <c r="F65" s="175" t="s">
        <v>267</v>
      </c>
      <c r="J65" s="41"/>
      <c r="K65" s="12"/>
    </row>
    <row r="66" spans="1:11" x14ac:dyDescent="0.3">
      <c r="A66" s="12"/>
      <c r="C66" s="12"/>
      <c r="D66" s="69"/>
      <c r="E66" s="172"/>
      <c r="J66" s="41"/>
      <c r="K66" s="12"/>
    </row>
    <row r="67" spans="1:11" x14ac:dyDescent="0.3">
      <c r="A67" s="12"/>
      <c r="C67" s="12"/>
      <c r="D67" s="69" t="s">
        <v>274</v>
      </c>
      <c r="E67" s="153">
        <f>E65*90%</f>
        <v>918</v>
      </c>
      <c r="J67" s="41"/>
      <c r="K67" s="12"/>
    </row>
    <row r="68" spans="1:11" x14ac:dyDescent="0.3">
      <c r="A68" s="12"/>
      <c r="C68" s="12"/>
      <c r="D68" s="7" t="s">
        <v>275</v>
      </c>
      <c r="E68" s="153">
        <f>E65*10%</f>
        <v>102</v>
      </c>
      <c r="F68" s="7" t="s">
        <v>263</v>
      </c>
      <c r="J68" s="41"/>
      <c r="K68" s="12"/>
    </row>
    <row r="69" spans="1:11" x14ac:dyDescent="0.3">
      <c r="A69" s="22"/>
      <c r="B69" s="25"/>
      <c r="C69" s="22"/>
      <c r="D69" s="25"/>
      <c r="E69" s="25"/>
      <c r="F69" s="25"/>
      <c r="G69" s="25"/>
      <c r="H69" s="25"/>
      <c r="I69" s="61"/>
      <c r="J69" s="62"/>
      <c r="K69" s="22"/>
    </row>
    <row r="70" spans="1:11" x14ac:dyDescent="0.3">
      <c r="A70" s="4"/>
      <c r="C70" s="4"/>
      <c r="D70" s="176" t="s">
        <v>276</v>
      </c>
      <c r="E70"/>
      <c r="F70"/>
      <c r="G70"/>
      <c r="H70"/>
      <c r="I70"/>
      <c r="J70" s="162"/>
      <c r="K70" s="4"/>
    </row>
    <row r="71" spans="1:11" x14ac:dyDescent="0.3">
      <c r="A71" s="12"/>
      <c r="C71" s="12"/>
      <c r="D71" s="177"/>
      <c r="E71"/>
      <c r="F71"/>
      <c r="G71"/>
      <c r="H71"/>
      <c r="I71"/>
      <c r="J71" s="41"/>
      <c r="K71" s="12"/>
    </row>
    <row r="72" spans="1:11" x14ac:dyDescent="0.3">
      <c r="A72" s="12"/>
      <c r="C72" s="12"/>
      <c r="D72" s="111"/>
      <c r="E72" s="178" t="s">
        <v>277</v>
      </c>
      <c r="F72" s="178" t="s">
        <v>278</v>
      </c>
      <c r="G72" s="178" t="s">
        <v>279</v>
      </c>
      <c r="H72" s="124"/>
      <c r="I72" s="111"/>
      <c r="J72" s="41"/>
      <c r="K72" s="12"/>
    </row>
    <row r="73" spans="1:11" x14ac:dyDescent="0.3">
      <c r="A73" s="12"/>
      <c r="C73" s="12"/>
      <c r="D73" s="111"/>
      <c r="E73" s="152" t="s">
        <v>10</v>
      </c>
      <c r="F73" s="152" t="s">
        <v>10</v>
      </c>
      <c r="G73" s="152" t="s">
        <v>10</v>
      </c>
      <c r="H73" s="124"/>
      <c r="I73" s="111"/>
      <c r="J73" s="41"/>
      <c r="K73" s="12"/>
    </row>
    <row r="74" spans="1:11" x14ac:dyDescent="0.3">
      <c r="A74" s="12"/>
      <c r="C74" s="12"/>
      <c r="D74" s="179" t="s">
        <v>280</v>
      </c>
      <c r="E74" s="180">
        <v>2500</v>
      </c>
      <c r="F74" s="124"/>
      <c r="G74" s="124"/>
      <c r="H74" s="124"/>
      <c r="I74" s="97" t="s">
        <v>91</v>
      </c>
      <c r="J74" s="41"/>
      <c r="K74" s="12"/>
    </row>
    <row r="75" spans="1:11" x14ac:dyDescent="0.3">
      <c r="A75" s="12"/>
      <c r="C75" s="12"/>
      <c r="D75" s="179" t="s">
        <v>281</v>
      </c>
      <c r="E75" s="180">
        <v>5000</v>
      </c>
      <c r="F75" s="124"/>
      <c r="G75" s="124"/>
      <c r="H75" s="124"/>
      <c r="I75" s="97" t="s">
        <v>88</v>
      </c>
      <c r="J75" s="41"/>
      <c r="K75" s="181"/>
    </row>
    <row r="76" spans="1:11" x14ac:dyDescent="0.3">
      <c r="A76" s="12"/>
      <c r="C76" s="12"/>
      <c r="D76" s="179" t="s">
        <v>282</v>
      </c>
      <c r="E76" s="182">
        <v>100</v>
      </c>
      <c r="F76" s="124"/>
      <c r="G76" s="124"/>
      <c r="H76" s="124"/>
      <c r="I76" s="97" t="s">
        <v>356</v>
      </c>
      <c r="J76" s="41"/>
      <c r="K76" s="181" t="s">
        <v>364</v>
      </c>
    </row>
    <row r="77" spans="1:11" ht="17.25" thickBot="1" x14ac:dyDescent="0.35">
      <c r="A77" s="12"/>
      <c r="C77" s="12"/>
      <c r="D77" s="179" t="s">
        <v>283</v>
      </c>
      <c r="E77" s="183">
        <v>-1880</v>
      </c>
      <c r="F77" s="124"/>
      <c r="G77" s="124"/>
      <c r="H77" s="124"/>
      <c r="I77" s="97" t="s">
        <v>357</v>
      </c>
      <c r="J77" s="41"/>
      <c r="K77" s="181" t="s">
        <v>365</v>
      </c>
    </row>
    <row r="78" spans="1:11" ht="21" x14ac:dyDescent="0.3">
      <c r="A78" s="12"/>
      <c r="C78" s="12"/>
      <c r="D78" s="111"/>
      <c r="E78" s="180">
        <v>5720</v>
      </c>
      <c r="F78" s="124"/>
      <c r="G78" s="124"/>
      <c r="H78" s="124"/>
      <c r="I78" s="111"/>
      <c r="J78" s="41"/>
      <c r="K78" s="184"/>
    </row>
    <row r="79" spans="1:11" x14ac:dyDescent="0.3">
      <c r="A79" s="12"/>
      <c r="C79" s="12"/>
      <c r="D79" s="179" t="s">
        <v>284</v>
      </c>
      <c r="E79" s="180">
        <f>E40</f>
        <v>2000</v>
      </c>
      <c r="F79" s="180">
        <f>E42</f>
        <v>5000</v>
      </c>
      <c r="G79" s="180">
        <f>E41</f>
        <v>3000</v>
      </c>
      <c r="H79" s="180">
        <f>SUM(E79:G79)</f>
        <v>10000</v>
      </c>
      <c r="I79" s="97" t="s">
        <v>358</v>
      </c>
      <c r="J79" s="41"/>
      <c r="K79" s="181" t="s">
        <v>366</v>
      </c>
    </row>
    <row r="80" spans="1:11" x14ac:dyDescent="0.3">
      <c r="A80" s="12"/>
      <c r="C80" s="12"/>
      <c r="D80" s="179" t="s">
        <v>285</v>
      </c>
      <c r="E80" s="124"/>
      <c r="F80" s="180">
        <f>E49</f>
        <v>1170</v>
      </c>
      <c r="G80" s="180">
        <f>E50</f>
        <v>2730</v>
      </c>
      <c r="H80" s="180">
        <f>SUM(F80:G80)</f>
        <v>3900</v>
      </c>
      <c r="I80" s="168" t="s">
        <v>23</v>
      </c>
      <c r="J80" s="41"/>
      <c r="K80" s="181" t="s">
        <v>368</v>
      </c>
    </row>
    <row r="81" spans="1:11" x14ac:dyDescent="0.3">
      <c r="A81" s="12"/>
      <c r="C81" s="12"/>
      <c r="D81" s="179" t="s">
        <v>286</v>
      </c>
      <c r="E81" s="124"/>
      <c r="F81" s="124"/>
      <c r="G81" s="182">
        <v>-100</v>
      </c>
      <c r="H81" s="124"/>
      <c r="I81" s="168" t="s">
        <v>23</v>
      </c>
      <c r="J81" s="41"/>
      <c r="K81" s="181" t="s">
        <v>367</v>
      </c>
    </row>
    <row r="82" spans="1:11" ht="21" x14ac:dyDescent="0.3">
      <c r="A82" s="12"/>
      <c r="C82" s="12"/>
      <c r="D82" s="179" t="s">
        <v>287</v>
      </c>
      <c r="E82" s="124"/>
      <c r="F82" s="124"/>
      <c r="G82" s="182">
        <v>750</v>
      </c>
      <c r="H82" s="124"/>
      <c r="I82" s="97" t="s">
        <v>94</v>
      </c>
      <c r="J82" s="41"/>
      <c r="K82" s="185"/>
    </row>
    <row r="83" spans="1:11" x14ac:dyDescent="0.3">
      <c r="A83" s="12"/>
      <c r="C83" s="12"/>
      <c r="D83" s="179" t="s">
        <v>288</v>
      </c>
      <c r="E83" s="124"/>
      <c r="F83" s="124"/>
      <c r="G83" s="182">
        <v>150</v>
      </c>
      <c r="H83" s="124"/>
      <c r="I83" s="97" t="s">
        <v>359</v>
      </c>
      <c r="J83" s="41"/>
      <c r="K83" s="186" t="s">
        <v>369</v>
      </c>
    </row>
    <row r="84" spans="1:11" x14ac:dyDescent="0.3">
      <c r="A84" s="12"/>
      <c r="C84" s="12"/>
      <c r="D84" s="179" t="s">
        <v>289</v>
      </c>
      <c r="E84" s="180">
        <f>E57</f>
        <v>1050</v>
      </c>
      <c r="F84" s="180">
        <f>E58</f>
        <v>300</v>
      </c>
      <c r="G84" s="180">
        <f>E59</f>
        <v>150</v>
      </c>
      <c r="H84" s="180">
        <f>SUM(E84:G84)</f>
        <v>1500</v>
      </c>
      <c r="I84" s="168" t="s">
        <v>23</v>
      </c>
      <c r="J84" s="41"/>
      <c r="K84" s="186" t="s">
        <v>370</v>
      </c>
    </row>
    <row r="85" spans="1:11" ht="17.25" thickBot="1" x14ac:dyDescent="0.35">
      <c r="A85" s="12"/>
      <c r="C85" s="12"/>
      <c r="D85" s="179" t="s">
        <v>290</v>
      </c>
      <c r="E85" s="187" t="s">
        <v>97</v>
      </c>
      <c r="F85" s="183">
        <f>E67</f>
        <v>918</v>
      </c>
      <c r="G85" s="183">
        <f>E68</f>
        <v>102</v>
      </c>
      <c r="H85" s="183">
        <f>SUM(F85:G85)</f>
        <v>1020</v>
      </c>
      <c r="I85" s="168" t="s">
        <v>23</v>
      </c>
      <c r="J85" s="41"/>
      <c r="K85" s="186" t="s">
        <v>371</v>
      </c>
    </row>
    <row r="86" spans="1:11" ht="17.25" thickBot="1" x14ac:dyDescent="0.35">
      <c r="A86" s="12"/>
      <c r="C86" s="12"/>
      <c r="D86" s="111"/>
      <c r="E86" s="183">
        <f>SUM(E78:E85)</f>
        <v>8770</v>
      </c>
      <c r="F86" s="183">
        <f t="shared" ref="F86:G86" si="0">SUM(F78:F85)</f>
        <v>7388</v>
      </c>
      <c r="G86" s="183">
        <f t="shared" si="0"/>
        <v>6782</v>
      </c>
      <c r="H86" s="124"/>
      <c r="I86" s="111"/>
      <c r="J86" s="41"/>
      <c r="K86" s="12"/>
    </row>
    <row r="87" spans="1:11" x14ac:dyDescent="0.3">
      <c r="A87" s="22"/>
      <c r="B87" s="25"/>
      <c r="C87" s="22"/>
      <c r="D87" s="25"/>
      <c r="E87" s="25"/>
      <c r="F87" s="25"/>
      <c r="G87" s="25"/>
      <c r="H87" s="25"/>
      <c r="I87" s="61"/>
      <c r="J87" s="62"/>
      <c r="K87" s="22"/>
    </row>
    <row r="88" spans="1:11" x14ac:dyDescent="0.3">
      <c r="A88" s="4"/>
      <c r="B88" s="4" t="s">
        <v>70</v>
      </c>
      <c r="C88" s="4"/>
      <c r="J88" s="162"/>
      <c r="K88" s="4"/>
    </row>
    <row r="89" spans="1:11" x14ac:dyDescent="0.3">
      <c r="A89" s="12"/>
      <c r="B89" s="12"/>
      <c r="C89" s="12"/>
      <c r="D89" s="149" t="s">
        <v>291</v>
      </c>
      <c r="E89"/>
      <c r="J89" s="75">
        <v>6</v>
      </c>
      <c r="K89" s="12"/>
    </row>
    <row r="90" spans="1:11" x14ac:dyDescent="0.3">
      <c r="A90" s="12"/>
      <c r="B90" s="12"/>
      <c r="C90" s="12"/>
      <c r="D90" s="69"/>
      <c r="E90"/>
      <c r="J90" s="41"/>
      <c r="K90" s="12"/>
    </row>
    <row r="91" spans="1:11" x14ac:dyDescent="0.3">
      <c r="A91" s="12"/>
      <c r="B91" s="12"/>
      <c r="C91" s="12"/>
      <c r="D91"/>
      <c r="E91" s="152" t="s">
        <v>10</v>
      </c>
      <c r="J91" s="41"/>
      <c r="K91" s="12"/>
    </row>
    <row r="92" spans="1:11" x14ac:dyDescent="0.3">
      <c r="A92" s="12"/>
      <c r="B92" s="12"/>
      <c r="C92" s="12"/>
      <c r="D92" s="69"/>
      <c r="E92"/>
      <c r="J92" s="41"/>
      <c r="K92" s="12"/>
    </row>
    <row r="93" spans="1:11" x14ac:dyDescent="0.3">
      <c r="A93" s="12"/>
      <c r="B93" s="12"/>
      <c r="C93" s="12"/>
      <c r="D93" s="188" t="s">
        <v>292</v>
      </c>
      <c r="E93" s="180">
        <v>24000</v>
      </c>
      <c r="F93" s="189" t="s">
        <v>14</v>
      </c>
      <c r="J93" s="41"/>
      <c r="K93" s="12"/>
    </row>
    <row r="94" spans="1:11" x14ac:dyDescent="0.3">
      <c r="A94" s="12"/>
      <c r="B94" s="12"/>
      <c r="C94" s="12"/>
      <c r="D94" s="190" t="s">
        <v>223</v>
      </c>
      <c r="E94" s="191">
        <f>G16</f>
        <v>8770</v>
      </c>
      <c r="J94" s="41"/>
      <c r="K94" s="12"/>
    </row>
    <row r="95" spans="1:11" x14ac:dyDescent="0.3">
      <c r="A95" s="12"/>
      <c r="B95" s="12"/>
      <c r="C95" s="12"/>
      <c r="D95" s="149" t="s">
        <v>293</v>
      </c>
      <c r="E95" s="180">
        <f>E93-E94</f>
        <v>15230</v>
      </c>
      <c r="J95" s="41"/>
      <c r="K95" s="12"/>
    </row>
    <row r="96" spans="1:11" x14ac:dyDescent="0.3">
      <c r="A96" s="12"/>
      <c r="B96" s="12"/>
      <c r="C96" s="12"/>
      <c r="D96" s="190" t="s">
        <v>294</v>
      </c>
      <c r="E96" s="180">
        <f>E24</f>
        <v>7388</v>
      </c>
      <c r="J96" s="41"/>
      <c r="K96" s="12"/>
    </row>
    <row r="97" spans="1:11" x14ac:dyDescent="0.3">
      <c r="A97" s="12"/>
      <c r="B97" s="12"/>
      <c r="C97" s="12"/>
      <c r="D97" s="190" t="s">
        <v>295</v>
      </c>
      <c r="E97" s="191">
        <f>E35</f>
        <v>6782</v>
      </c>
      <c r="J97" s="41"/>
      <c r="K97" s="12"/>
    </row>
    <row r="98" spans="1:11" x14ac:dyDescent="0.3">
      <c r="A98" s="12"/>
      <c r="B98" s="12"/>
      <c r="C98" s="12"/>
      <c r="D98" s="149" t="s">
        <v>296</v>
      </c>
      <c r="E98" s="192">
        <f>E95-E96-E97</f>
        <v>1060</v>
      </c>
      <c r="F98" s="189" t="s">
        <v>14</v>
      </c>
      <c r="J98" s="41"/>
      <c r="K98" s="193" t="s">
        <v>297</v>
      </c>
    </row>
    <row r="99" spans="1:11" x14ac:dyDescent="0.3">
      <c r="A99" s="12"/>
      <c r="B99" s="12"/>
      <c r="C99" s="12"/>
      <c r="D99" s="190" t="s">
        <v>298</v>
      </c>
      <c r="E99" s="191">
        <v>150</v>
      </c>
      <c r="F99" s="189" t="s">
        <v>299</v>
      </c>
      <c r="J99" s="41"/>
      <c r="K99" s="76" t="s">
        <v>300</v>
      </c>
    </row>
    <row r="100" spans="1:11" x14ac:dyDescent="0.3">
      <c r="A100" s="12"/>
      <c r="B100" s="12"/>
      <c r="C100" s="12"/>
      <c r="D100" s="149" t="s">
        <v>301</v>
      </c>
      <c r="E100" s="192">
        <f>E98-E99</f>
        <v>910</v>
      </c>
      <c r="J100" s="41"/>
      <c r="K100" s="76" t="s">
        <v>302</v>
      </c>
    </row>
    <row r="101" spans="1:11" x14ac:dyDescent="0.3">
      <c r="A101" s="12"/>
      <c r="C101" s="12"/>
      <c r="D101" s="190" t="s">
        <v>303</v>
      </c>
      <c r="E101" s="180">
        <v>450</v>
      </c>
      <c r="F101" s="189" t="s">
        <v>14</v>
      </c>
      <c r="J101" s="41"/>
      <c r="K101" s="82" t="s">
        <v>304</v>
      </c>
    </row>
    <row r="102" spans="1:11" ht="18.75" customHeight="1" x14ac:dyDescent="0.3">
      <c r="A102" s="12"/>
      <c r="C102" s="12"/>
      <c r="D102" s="149" t="s">
        <v>305</v>
      </c>
      <c r="E102" s="192">
        <f>E100-E101</f>
        <v>460</v>
      </c>
      <c r="F102" s="189" t="s">
        <v>14</v>
      </c>
      <c r="J102" s="41"/>
      <c r="K102" s="194" t="s">
        <v>306</v>
      </c>
    </row>
    <row r="103" spans="1:11" x14ac:dyDescent="0.3">
      <c r="A103" s="22"/>
      <c r="B103" s="25"/>
      <c r="C103" s="22"/>
      <c r="D103" s="25"/>
      <c r="E103" s="191"/>
      <c r="F103" s="25"/>
      <c r="G103" s="25"/>
      <c r="H103" s="25"/>
      <c r="I103" s="61"/>
      <c r="J103" s="62"/>
      <c r="K103" s="22"/>
    </row>
  </sheetData>
  <mergeCells count="6">
    <mergeCell ref="A1:C1"/>
    <mergeCell ref="D1:I1"/>
    <mergeCell ref="K8:K9"/>
    <mergeCell ref="F32:F33"/>
    <mergeCell ref="G32:G33"/>
    <mergeCell ref="K33:K34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rowBreaks count="1" manualBreakCount="1">
    <brk id="51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91F-5CCD-4F5D-88FE-E3CC04C36109}">
  <sheetPr>
    <pageSetUpPr fitToPage="1"/>
  </sheetPr>
  <dimension ref="A1:DN33"/>
  <sheetViews>
    <sheetView topLeftCell="D1" workbookViewId="0">
      <selection activeCell="E54" sqref="E54"/>
    </sheetView>
  </sheetViews>
  <sheetFormatPr defaultColWidth="8.7109375" defaultRowHeight="16.5" x14ac:dyDescent="0.3"/>
  <cols>
    <col min="1" max="1" width="4.42578125" style="7" customWidth="1"/>
    <col min="2" max="2" width="4.5703125" style="7" customWidth="1"/>
    <col min="3" max="3" width="4" style="7" customWidth="1"/>
    <col min="4" max="4" width="38.7109375" style="7" customWidth="1"/>
    <col min="5" max="5" width="9.5703125" style="7" customWidth="1"/>
    <col min="6" max="6" width="9.28515625" style="7" customWidth="1"/>
    <col min="7" max="7" width="12.85546875" style="7" customWidth="1"/>
    <col min="8" max="8" width="9.7109375" style="7" customWidth="1"/>
    <col min="9" max="9" width="17.42578125" style="40" customWidth="1"/>
    <col min="10" max="10" width="8.7109375" style="64"/>
    <col min="11" max="11" width="65" style="7" customWidth="1"/>
    <col min="12" max="12" width="11.42578125" style="7" customWidth="1"/>
    <col min="13" max="13" width="8.7109375" style="7"/>
    <col min="14" max="14" width="10.140625" style="7" customWidth="1"/>
    <col min="15" max="16384" width="8.7109375" style="7"/>
  </cols>
  <sheetData>
    <row r="1" spans="1:118" s="4" customFormat="1" ht="33" x14ac:dyDescent="0.3">
      <c r="A1" s="233" t="s">
        <v>0</v>
      </c>
      <c r="B1" s="234"/>
      <c r="C1" s="235"/>
      <c r="D1" s="236" t="s">
        <v>1</v>
      </c>
      <c r="E1" s="237"/>
      <c r="F1" s="237"/>
      <c r="G1" s="237"/>
      <c r="H1" s="237"/>
      <c r="I1" s="238"/>
      <c r="J1" s="35" t="s">
        <v>2</v>
      </c>
      <c r="K1" s="34" t="s">
        <v>3</v>
      </c>
      <c r="L1" s="36"/>
      <c r="M1" s="36"/>
      <c r="N1" s="36"/>
      <c r="O1" s="36"/>
      <c r="P1" s="36"/>
      <c r="Q1" s="36"/>
      <c r="R1" s="7"/>
      <c r="S1" s="7"/>
      <c r="T1" s="7"/>
      <c r="U1" s="7"/>
      <c r="V1" s="7"/>
      <c r="W1" s="7"/>
      <c r="X1" s="7"/>
      <c r="Y1" s="94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x14ac:dyDescent="0.3">
      <c r="A2" s="37" t="s">
        <v>307</v>
      </c>
      <c r="B2" s="4" t="s">
        <v>5</v>
      </c>
      <c r="C2" s="37"/>
      <c r="D2" s="38"/>
      <c r="J2" s="39">
        <v>11</v>
      </c>
      <c r="K2" s="4"/>
    </row>
    <row r="3" spans="1:118" x14ac:dyDescent="0.3">
      <c r="A3" s="12"/>
      <c r="B3" s="12"/>
      <c r="C3" s="12"/>
      <c r="D3" s="258" t="s">
        <v>308</v>
      </c>
      <c r="E3" s="167" t="s">
        <v>309</v>
      </c>
      <c r="F3" s="167" t="s">
        <v>310</v>
      </c>
      <c r="G3" s="167" t="s">
        <v>311</v>
      </c>
      <c r="H3" s="167" t="s">
        <v>312</v>
      </c>
      <c r="I3" s="256"/>
      <c r="J3" s="150"/>
      <c r="K3" s="222" t="s">
        <v>313</v>
      </c>
    </row>
    <row r="4" spans="1:118" x14ac:dyDescent="0.3">
      <c r="A4" s="12"/>
      <c r="B4" s="12"/>
      <c r="C4" s="12"/>
      <c r="D4" s="255"/>
      <c r="E4" s="167" t="s">
        <v>314</v>
      </c>
      <c r="F4" s="167" t="s">
        <v>314</v>
      </c>
      <c r="G4" s="167" t="s">
        <v>314</v>
      </c>
      <c r="H4" s="167" t="s">
        <v>314</v>
      </c>
      <c r="I4" s="256"/>
      <c r="J4" s="150"/>
      <c r="K4" s="76" t="s">
        <v>315</v>
      </c>
    </row>
    <row r="5" spans="1:118" x14ac:dyDescent="0.3">
      <c r="A5" s="12"/>
      <c r="B5" s="12"/>
      <c r="C5" s="12"/>
      <c r="D5" s="69" t="s">
        <v>316</v>
      </c>
      <c r="E5" s="195">
        <v>-14</v>
      </c>
      <c r="F5" s="195"/>
      <c r="G5" s="195"/>
      <c r="H5" s="195"/>
      <c r="I5" s="195"/>
      <c r="J5" s="150"/>
      <c r="K5" s="76" t="s">
        <v>317</v>
      </c>
    </row>
    <row r="6" spans="1:118" x14ac:dyDescent="0.3">
      <c r="A6" s="12"/>
      <c r="B6" s="12"/>
      <c r="C6" s="12"/>
      <c r="D6" s="69" t="s">
        <v>318</v>
      </c>
      <c r="E6" s="195">
        <v>5.7</v>
      </c>
      <c r="F6" s="195"/>
      <c r="G6" s="195"/>
      <c r="H6" s="195"/>
      <c r="I6" s="195"/>
      <c r="J6" s="150"/>
      <c r="K6" s="76" t="s">
        <v>319</v>
      </c>
    </row>
    <row r="7" spans="1:118" x14ac:dyDescent="0.3">
      <c r="A7" s="12"/>
      <c r="B7" s="12"/>
      <c r="C7" s="12"/>
      <c r="D7" s="69" t="s">
        <v>320</v>
      </c>
      <c r="E7" s="195"/>
      <c r="F7" s="195">
        <v>2.8</v>
      </c>
      <c r="G7" s="195">
        <v>3.2</v>
      </c>
      <c r="H7" s="195">
        <v>3.6</v>
      </c>
      <c r="I7" s="195"/>
      <c r="J7" s="150"/>
      <c r="K7" s="76" t="s">
        <v>321</v>
      </c>
    </row>
    <row r="8" spans="1:118" x14ac:dyDescent="0.3">
      <c r="A8" s="12"/>
      <c r="B8" s="12"/>
      <c r="C8" s="12"/>
      <c r="D8" s="69" t="s">
        <v>322</v>
      </c>
      <c r="E8" s="195"/>
      <c r="F8" s="195">
        <v>-0.4</v>
      </c>
      <c r="G8" s="195">
        <v>-0.6</v>
      </c>
      <c r="H8" s="195">
        <v>-0.8</v>
      </c>
      <c r="I8" s="195"/>
      <c r="J8" s="150"/>
      <c r="K8" s="76" t="s">
        <v>323</v>
      </c>
    </row>
    <row r="9" spans="1:118" x14ac:dyDescent="0.3">
      <c r="A9" s="12"/>
      <c r="B9" s="12"/>
      <c r="C9" s="12"/>
      <c r="D9" s="69" t="s">
        <v>324</v>
      </c>
      <c r="E9" s="195"/>
      <c r="F9" s="195"/>
      <c r="G9" s="159"/>
      <c r="H9" s="195">
        <v>5.6</v>
      </c>
      <c r="I9" s="175" t="s">
        <v>325</v>
      </c>
      <c r="J9" s="150"/>
      <c r="K9" s="12" t="s">
        <v>326</v>
      </c>
    </row>
    <row r="10" spans="1:118" x14ac:dyDescent="0.3">
      <c r="A10" s="12"/>
      <c r="B10" s="12"/>
      <c r="C10" s="12"/>
      <c r="D10" s="69" t="s">
        <v>327</v>
      </c>
      <c r="E10" s="196"/>
      <c r="F10" s="196"/>
      <c r="G10" s="196"/>
      <c r="H10" s="196">
        <v>0.28499999999999998</v>
      </c>
      <c r="I10" s="157" t="s">
        <v>14</v>
      </c>
      <c r="J10" s="150"/>
      <c r="K10" s="150"/>
    </row>
    <row r="11" spans="1:118" x14ac:dyDescent="0.3">
      <c r="A11" s="12"/>
      <c r="B11" s="12"/>
      <c r="C11" s="12"/>
      <c r="D11" s="67" t="s">
        <v>328</v>
      </c>
      <c r="E11" s="197">
        <f>SUM(E5:E10)</f>
        <v>-8.3000000000000007</v>
      </c>
      <c r="F11" s="197">
        <f t="shared" ref="F11:H11" si="0">SUM(F5:F10)</f>
        <v>2.4</v>
      </c>
      <c r="G11" s="197">
        <f t="shared" si="0"/>
        <v>2.6</v>
      </c>
      <c r="H11" s="197">
        <f t="shared" si="0"/>
        <v>8.6849999999999987</v>
      </c>
      <c r="I11" s="195"/>
      <c r="J11" s="150"/>
      <c r="K11" s="150"/>
    </row>
    <row r="12" spans="1:118" ht="27.75" customHeight="1" x14ac:dyDescent="0.3">
      <c r="A12" s="12"/>
      <c r="B12" s="12"/>
      <c r="C12" s="12"/>
      <c r="D12" s="69"/>
      <c r="E12" s="195"/>
      <c r="F12" s="257" t="s">
        <v>14</v>
      </c>
      <c r="G12" s="257"/>
      <c r="H12" s="257"/>
      <c r="I12" s="195"/>
      <c r="J12" s="150"/>
      <c r="K12" s="150"/>
    </row>
    <row r="13" spans="1:118" x14ac:dyDescent="0.3">
      <c r="A13" s="12"/>
      <c r="B13" s="12"/>
      <c r="C13" s="12"/>
      <c r="D13" s="69" t="s">
        <v>329</v>
      </c>
      <c r="E13" s="196">
        <v>1</v>
      </c>
      <c r="F13" s="196">
        <v>0.87719999999999998</v>
      </c>
      <c r="G13" s="196">
        <v>0.76949999999999996</v>
      </c>
      <c r="H13" s="196">
        <v>0.67500000000000004</v>
      </c>
      <c r="I13" s="195"/>
      <c r="J13" s="150"/>
      <c r="K13" s="150"/>
    </row>
    <row r="14" spans="1:118" x14ac:dyDescent="0.3">
      <c r="A14" s="12"/>
      <c r="B14" s="12"/>
      <c r="C14" s="12"/>
      <c r="D14" s="69" t="s">
        <v>330</v>
      </c>
      <c r="E14" s="198">
        <f>E11*E13</f>
        <v>-8.3000000000000007</v>
      </c>
      <c r="F14" s="199">
        <f t="shared" ref="F14:H14" si="1">F11*F13</f>
        <v>2.10528</v>
      </c>
      <c r="G14" s="199">
        <f t="shared" si="1"/>
        <v>2.0007000000000001</v>
      </c>
      <c r="H14" s="199">
        <f t="shared" si="1"/>
        <v>5.8623749999999992</v>
      </c>
      <c r="I14" s="195"/>
      <c r="J14" s="150"/>
      <c r="K14" s="150"/>
    </row>
    <row r="15" spans="1:118" ht="24" customHeight="1" x14ac:dyDescent="0.3">
      <c r="A15" s="12"/>
      <c r="B15" s="12"/>
      <c r="C15" s="12"/>
      <c r="D15" s="69"/>
      <c r="E15" s="200" t="s">
        <v>14</v>
      </c>
      <c r="F15" s="257" t="s">
        <v>14</v>
      </c>
      <c r="G15" s="257"/>
      <c r="H15" s="257"/>
      <c r="I15" s="195"/>
      <c r="J15" s="150"/>
      <c r="K15" s="150"/>
    </row>
    <row r="16" spans="1:118" x14ac:dyDescent="0.3">
      <c r="A16" s="12"/>
      <c r="B16" s="12"/>
      <c r="C16" s="12"/>
      <c r="D16" s="69"/>
      <c r="E16" s="195"/>
      <c r="F16" s="195"/>
      <c r="G16" s="197" t="s">
        <v>331</v>
      </c>
      <c r="H16" s="199">
        <f>SUM(E14:H14)</f>
        <v>1.6683549999999991</v>
      </c>
      <c r="I16" s="201" t="s">
        <v>88</v>
      </c>
      <c r="J16" s="150"/>
      <c r="K16" s="150"/>
    </row>
    <row r="17" spans="1:11" x14ac:dyDescent="0.3">
      <c r="A17" s="22"/>
      <c r="B17" s="22"/>
      <c r="C17" s="22"/>
      <c r="D17" s="25"/>
      <c r="E17" s="25"/>
      <c r="F17" s="25"/>
      <c r="G17" s="54"/>
      <c r="H17" s="156"/>
      <c r="I17" s="116"/>
      <c r="J17" s="202"/>
      <c r="K17" s="42"/>
    </row>
    <row r="18" spans="1:11" x14ac:dyDescent="0.3">
      <c r="A18" s="12"/>
      <c r="B18" s="4"/>
      <c r="C18" s="5"/>
      <c r="D18" s="149"/>
      <c r="E18"/>
      <c r="F18"/>
      <c r="G18"/>
      <c r="H18"/>
      <c r="I18"/>
      <c r="J18" s="162"/>
      <c r="K18" s="129"/>
    </row>
    <row r="19" spans="1:11" x14ac:dyDescent="0.3">
      <c r="A19" s="12"/>
      <c r="B19" s="12"/>
      <c r="C19" s="13"/>
      <c r="D19" s="255" t="s">
        <v>332</v>
      </c>
      <c r="E19" s="167" t="s">
        <v>309</v>
      </c>
      <c r="F19" s="167" t="s">
        <v>310</v>
      </c>
      <c r="G19" s="167" t="s">
        <v>311</v>
      </c>
      <c r="H19" s="167" t="s">
        <v>312</v>
      </c>
      <c r="I19" s="256"/>
      <c r="J19" s="41"/>
      <c r="K19" s="58"/>
    </row>
    <row r="20" spans="1:11" x14ac:dyDescent="0.3">
      <c r="A20" s="12"/>
      <c r="B20" s="12"/>
      <c r="C20" s="13"/>
      <c r="D20" s="255"/>
      <c r="E20" s="167" t="s">
        <v>314</v>
      </c>
      <c r="F20" s="167" t="s">
        <v>314</v>
      </c>
      <c r="G20" s="167" t="s">
        <v>314</v>
      </c>
      <c r="H20" s="167" t="s">
        <v>314</v>
      </c>
      <c r="I20" s="256"/>
      <c r="J20" s="41"/>
      <c r="K20" s="42"/>
    </row>
    <row r="21" spans="1:11" x14ac:dyDescent="0.3">
      <c r="A21" s="12"/>
      <c r="B21" s="12"/>
      <c r="C21" s="13"/>
      <c r="D21" s="69" t="s">
        <v>316</v>
      </c>
      <c r="E21" s="195">
        <v>-14</v>
      </c>
      <c r="F21" s="195"/>
      <c r="G21" s="195"/>
      <c r="H21" s="195"/>
      <c r="I21" s="195"/>
      <c r="J21" s="41"/>
      <c r="K21" s="42"/>
    </row>
    <row r="22" spans="1:11" x14ac:dyDescent="0.3">
      <c r="A22" s="12"/>
      <c r="B22" s="12"/>
      <c r="C22" s="13"/>
      <c r="D22" s="69" t="s">
        <v>318</v>
      </c>
      <c r="E22" s="195">
        <v>3.8</v>
      </c>
      <c r="F22" s="195"/>
      <c r="G22" s="195"/>
      <c r="H22" s="195"/>
      <c r="I22" s="195"/>
      <c r="J22" s="12"/>
      <c r="K22" s="12"/>
    </row>
    <row r="23" spans="1:11" x14ac:dyDescent="0.3">
      <c r="A23" s="12"/>
      <c r="B23" s="12"/>
      <c r="C23" s="13"/>
      <c r="D23" s="69" t="s">
        <v>320</v>
      </c>
      <c r="E23" s="195"/>
      <c r="F23" s="195">
        <v>4.3</v>
      </c>
      <c r="G23" s="195">
        <v>4.7</v>
      </c>
      <c r="H23" s="195">
        <v>5.0999999999999996</v>
      </c>
      <c r="I23" s="195"/>
      <c r="J23" s="12"/>
      <c r="K23" s="12"/>
    </row>
    <row r="24" spans="1:11" x14ac:dyDescent="0.3">
      <c r="A24" s="12"/>
      <c r="B24" s="12"/>
      <c r="C24" s="13"/>
      <c r="D24" s="69" t="s">
        <v>322</v>
      </c>
      <c r="E24" s="195"/>
      <c r="F24" s="195">
        <v>-0.7</v>
      </c>
      <c r="G24" s="195">
        <v>-1.1000000000000001</v>
      </c>
      <c r="H24" s="195">
        <v>-1.5</v>
      </c>
      <c r="I24" s="203"/>
      <c r="J24" s="41"/>
      <c r="K24" s="204"/>
    </row>
    <row r="25" spans="1:11" x14ac:dyDescent="0.3">
      <c r="A25" s="12"/>
      <c r="B25" s="12"/>
      <c r="C25" s="13"/>
      <c r="D25" s="69" t="s">
        <v>324</v>
      </c>
      <c r="E25" s="195"/>
      <c r="F25" s="195"/>
      <c r="G25" s="195"/>
      <c r="H25" s="195">
        <v>5.6</v>
      </c>
      <c r="I25" s="200" t="s">
        <v>14</v>
      </c>
      <c r="J25" s="41"/>
      <c r="K25" s="205"/>
    </row>
    <row r="26" spans="1:11" x14ac:dyDescent="0.3">
      <c r="A26" s="12"/>
      <c r="B26" s="12"/>
      <c r="C26" s="13"/>
      <c r="D26" s="69" t="s">
        <v>327</v>
      </c>
      <c r="E26" s="196"/>
      <c r="F26" s="196"/>
      <c r="G26" s="196"/>
      <c r="H26" s="196">
        <v>0.19</v>
      </c>
      <c r="I26" s="200" t="s">
        <v>14</v>
      </c>
      <c r="J26" s="41"/>
      <c r="K26" s="12"/>
    </row>
    <row r="27" spans="1:11" x14ac:dyDescent="0.3">
      <c r="A27" s="12"/>
      <c r="B27" s="12"/>
      <c r="C27" s="13"/>
      <c r="D27" s="67" t="s">
        <v>328</v>
      </c>
      <c r="E27" s="197">
        <f>SUM(E21:E26)</f>
        <v>-10.199999999999999</v>
      </c>
      <c r="F27" s="197">
        <f t="shared" ref="F27:H27" si="2">SUM(F21:F26)</f>
        <v>3.5999999999999996</v>
      </c>
      <c r="G27" s="197">
        <f t="shared" si="2"/>
        <v>3.6</v>
      </c>
      <c r="H27" s="197">
        <f t="shared" si="2"/>
        <v>9.3899999999999988</v>
      </c>
      <c r="I27" s="203"/>
      <c r="J27" s="41"/>
      <c r="K27" s="12"/>
    </row>
    <row r="28" spans="1:11" ht="23.25" customHeight="1" x14ac:dyDescent="0.3">
      <c r="A28" s="12"/>
      <c r="B28" s="12"/>
      <c r="C28" s="13"/>
      <c r="D28" s="69"/>
      <c r="E28" s="195"/>
      <c r="F28" s="257" t="s">
        <v>14</v>
      </c>
      <c r="G28" s="257"/>
      <c r="H28" s="257"/>
      <c r="I28" s="203"/>
      <c r="J28" s="41"/>
      <c r="K28" s="12"/>
    </row>
    <row r="29" spans="1:11" x14ac:dyDescent="0.3">
      <c r="A29" s="12"/>
      <c r="B29" s="12"/>
      <c r="C29" s="13"/>
      <c r="D29" s="69" t="s">
        <v>329</v>
      </c>
      <c r="E29" s="196">
        <v>1</v>
      </c>
      <c r="F29" s="196">
        <v>0.87719999999999998</v>
      </c>
      <c r="G29" s="196">
        <v>0.76949999999999996</v>
      </c>
      <c r="H29" s="196">
        <v>0.67500000000000004</v>
      </c>
      <c r="I29" s="203"/>
      <c r="J29" s="41"/>
      <c r="K29" s="12"/>
    </row>
    <row r="30" spans="1:11" x14ac:dyDescent="0.3">
      <c r="A30" s="12"/>
      <c r="B30" s="12"/>
      <c r="C30" s="13"/>
      <c r="D30" s="69" t="s">
        <v>330</v>
      </c>
      <c r="E30" s="198">
        <f>E27*E29</f>
        <v>-10.199999999999999</v>
      </c>
      <c r="F30" s="199">
        <f t="shared" ref="F30:H30" si="3">F27*F29</f>
        <v>3.1579199999999994</v>
      </c>
      <c r="G30" s="199">
        <f t="shared" si="3"/>
        <v>2.7702</v>
      </c>
      <c r="H30" s="199">
        <f t="shared" si="3"/>
        <v>6.3382499999999995</v>
      </c>
      <c r="I30" s="203"/>
      <c r="J30" s="41"/>
      <c r="K30" s="12"/>
    </row>
    <row r="31" spans="1:11" ht="27" customHeight="1" x14ac:dyDescent="0.3">
      <c r="A31" s="12"/>
      <c r="B31" s="12"/>
      <c r="C31" s="13"/>
      <c r="D31" s="69"/>
      <c r="E31" s="200" t="s">
        <v>14</v>
      </c>
      <c r="F31" s="257" t="s">
        <v>14</v>
      </c>
      <c r="G31" s="257"/>
      <c r="H31" s="257"/>
      <c r="I31" s="203"/>
      <c r="J31" s="41"/>
      <c r="K31" s="12"/>
    </row>
    <row r="32" spans="1:11" ht="16.5" customHeight="1" x14ac:dyDescent="0.3">
      <c r="A32" s="12"/>
      <c r="B32" s="12"/>
      <c r="C32" s="12"/>
      <c r="D32" s="69"/>
      <c r="E32" s="195"/>
      <c r="F32" s="195"/>
      <c r="G32" s="197" t="s">
        <v>331</v>
      </c>
      <c r="H32" s="199">
        <f>SUM(E30:H30)</f>
        <v>2.0663699999999992</v>
      </c>
      <c r="I32" s="176" t="s">
        <v>333</v>
      </c>
      <c r="J32" s="41"/>
      <c r="K32" s="50" t="s">
        <v>372</v>
      </c>
    </row>
    <row r="33" spans="1:11" x14ac:dyDescent="0.3">
      <c r="A33" s="22"/>
      <c r="B33" s="25"/>
      <c r="C33" s="22"/>
      <c r="D33" s="25"/>
      <c r="E33" s="25"/>
      <c r="F33" s="25"/>
      <c r="G33" s="25"/>
      <c r="H33" s="25"/>
      <c r="I33" s="61"/>
      <c r="J33" s="62"/>
      <c r="K33" s="171"/>
    </row>
  </sheetData>
  <mergeCells count="10">
    <mergeCell ref="D19:D20"/>
    <mergeCell ref="I19:I20"/>
    <mergeCell ref="F28:H28"/>
    <mergeCell ref="F31:H31"/>
    <mergeCell ref="A1:C1"/>
    <mergeCell ref="D1:I1"/>
    <mergeCell ref="D3:D4"/>
    <mergeCell ref="I3:I4"/>
    <mergeCell ref="F12:H12"/>
    <mergeCell ref="F15:H15"/>
  </mergeCells>
  <pageMargins left="0.7" right="0.7" top="0.75" bottom="0.75" header="0.3" footer="0.3"/>
  <pageSetup paperSize="9" scale="5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2A2C-E5C2-4094-9454-FB7DE0995285}">
  <sheetPr>
    <pageSetUpPr fitToPage="1"/>
  </sheetPr>
  <dimension ref="A1:AC18"/>
  <sheetViews>
    <sheetView workbookViewId="0">
      <selection activeCell="P9" sqref="P9"/>
    </sheetView>
  </sheetViews>
  <sheetFormatPr defaultRowHeight="15" x14ac:dyDescent="0.25"/>
  <cols>
    <col min="1" max="1" width="5.28515625" customWidth="1"/>
    <col min="2" max="2" width="4.5703125" customWidth="1"/>
    <col min="3" max="3" width="4.42578125" customWidth="1"/>
    <col min="4" max="4" width="6.85546875" customWidth="1"/>
    <col min="6" max="6" width="7.140625" customWidth="1"/>
    <col min="9" max="9" width="6.42578125" customWidth="1"/>
    <col min="10" max="10" width="8.5703125" customWidth="1"/>
    <col min="11" max="11" width="6.42578125" customWidth="1"/>
    <col min="15" max="15" width="7.5703125" customWidth="1"/>
    <col min="16" max="16" width="49.28515625" customWidth="1"/>
  </cols>
  <sheetData>
    <row r="1" spans="1:29" s="4" customFormat="1" ht="33" x14ac:dyDescent="0.3">
      <c r="A1" s="233" t="s">
        <v>0</v>
      </c>
      <c r="B1" s="234"/>
      <c r="C1" s="235"/>
      <c r="D1" s="264" t="s">
        <v>1</v>
      </c>
      <c r="E1" s="265"/>
      <c r="F1" s="265"/>
      <c r="G1" s="265"/>
      <c r="H1" s="265"/>
      <c r="I1" s="265"/>
      <c r="J1" s="265"/>
      <c r="K1" s="265"/>
      <c r="L1" s="265"/>
      <c r="M1" s="265"/>
      <c r="N1" s="266"/>
      <c r="O1" s="35" t="s">
        <v>2</v>
      </c>
      <c r="P1" s="34" t="s">
        <v>3</v>
      </c>
      <c r="Q1" s="36"/>
      <c r="R1" s="36"/>
      <c r="S1" s="36"/>
      <c r="T1" s="36"/>
      <c r="U1" s="36"/>
      <c r="V1" s="36"/>
      <c r="W1" s="7"/>
      <c r="X1" s="7"/>
      <c r="Y1" s="7"/>
      <c r="Z1" s="7"/>
      <c r="AA1" s="7"/>
      <c r="AB1" s="7"/>
      <c r="AC1" s="7"/>
    </row>
    <row r="2" spans="1:29" s="7" customFormat="1" ht="16.5" x14ac:dyDescent="0.3">
      <c r="A2" s="37" t="s">
        <v>307</v>
      </c>
      <c r="B2" s="4" t="s">
        <v>5</v>
      </c>
      <c r="C2" s="37"/>
      <c r="D2" s="6"/>
      <c r="I2" s="40"/>
      <c r="J2" s="206"/>
      <c r="O2" s="4"/>
      <c r="P2" s="12"/>
    </row>
    <row r="3" spans="1:29" s="7" customFormat="1" ht="16.5" x14ac:dyDescent="0.3">
      <c r="A3" s="12"/>
      <c r="B3" s="12"/>
      <c r="C3" s="12"/>
      <c r="D3" s="258" t="s">
        <v>276</v>
      </c>
      <c r="E3" s="255"/>
      <c r="F3" s="255"/>
      <c r="G3" s="255"/>
      <c r="H3"/>
      <c r="I3"/>
      <c r="J3"/>
      <c r="K3"/>
      <c r="L3"/>
      <c r="M3"/>
      <c r="N3"/>
      <c r="O3" s="12"/>
      <c r="P3" s="12"/>
    </row>
    <row r="4" spans="1:29" s="7" customFormat="1" ht="16.5" customHeight="1" x14ac:dyDescent="0.3">
      <c r="A4" s="12"/>
      <c r="B4" s="12"/>
      <c r="C4" s="12"/>
      <c r="D4" s="259" t="s">
        <v>308</v>
      </c>
      <c r="E4" s="260"/>
      <c r="F4" s="260"/>
      <c r="G4" s="260"/>
      <c r="H4" s="260"/>
      <c r="I4" s="263"/>
      <c r="J4" s="267" t="s">
        <v>332</v>
      </c>
      <c r="K4" s="260"/>
      <c r="L4" s="260"/>
      <c r="M4" s="260"/>
      <c r="N4" s="260"/>
      <c r="O4" s="12"/>
      <c r="P4" s="12"/>
    </row>
    <row r="5" spans="1:29" s="7" customFormat="1" ht="16.5" x14ac:dyDescent="0.3">
      <c r="A5" s="12"/>
      <c r="B5" s="12"/>
      <c r="C5" s="12"/>
      <c r="D5" s="208">
        <v>0</v>
      </c>
      <c r="E5" s="124">
        <v>-8.3000000000000007</v>
      </c>
      <c r="F5" s="157" t="s">
        <v>14</v>
      </c>
      <c r="G5" s="124">
        <v>1</v>
      </c>
      <c r="H5" s="209">
        <f>E5*G5</f>
        <v>-8.3000000000000007</v>
      </c>
      <c r="I5" s="268" t="s">
        <v>14</v>
      </c>
      <c r="J5" s="124">
        <v>-10.199999999999999</v>
      </c>
      <c r="K5" s="157" t="s">
        <v>14</v>
      </c>
      <c r="L5" s="124">
        <v>1</v>
      </c>
      <c r="M5" s="209">
        <f>J5*L5</f>
        <v>-10.199999999999999</v>
      </c>
      <c r="N5" s="240" t="s">
        <v>14</v>
      </c>
      <c r="O5" s="12"/>
      <c r="P5" s="12"/>
    </row>
    <row r="6" spans="1:29" s="7" customFormat="1" ht="16.5" x14ac:dyDescent="0.3">
      <c r="A6" s="12"/>
      <c r="B6" s="12"/>
      <c r="C6" s="12"/>
      <c r="D6" s="208">
        <v>1</v>
      </c>
      <c r="E6" s="124">
        <v>2.4</v>
      </c>
      <c r="F6" s="240" t="s">
        <v>14</v>
      </c>
      <c r="G6" s="124">
        <v>0.87719999999999998</v>
      </c>
      <c r="H6" s="210">
        <f t="shared" ref="H6:H8" si="0">E6*G6</f>
        <v>2.10528</v>
      </c>
      <c r="I6" s="268"/>
      <c r="J6" s="124">
        <v>3.6</v>
      </c>
      <c r="K6" s="240" t="s">
        <v>14</v>
      </c>
      <c r="L6" s="124">
        <v>0.87719999999999998</v>
      </c>
      <c r="M6" s="209">
        <f t="shared" ref="M6:M8" si="1">J6*L6</f>
        <v>3.1579199999999998</v>
      </c>
      <c r="N6" s="240"/>
      <c r="O6" s="12"/>
      <c r="P6" s="12"/>
    </row>
    <row r="7" spans="1:29" s="7" customFormat="1" ht="16.5" x14ac:dyDescent="0.3">
      <c r="A7" s="12"/>
      <c r="B7" s="12"/>
      <c r="C7" s="12"/>
      <c r="D7" s="208">
        <v>2</v>
      </c>
      <c r="E7" s="124">
        <v>2.6</v>
      </c>
      <c r="F7" s="240"/>
      <c r="G7" s="124">
        <v>0.76949999999999996</v>
      </c>
      <c r="H7" s="210">
        <f t="shared" si="0"/>
        <v>2.0007000000000001</v>
      </c>
      <c r="I7" s="268"/>
      <c r="J7" s="124">
        <v>3.6</v>
      </c>
      <c r="K7" s="240"/>
      <c r="L7" s="124">
        <v>0.76949999999999996</v>
      </c>
      <c r="M7" s="209">
        <f t="shared" si="1"/>
        <v>2.7702</v>
      </c>
      <c r="N7" s="240"/>
      <c r="O7" s="12"/>
      <c r="P7" s="12"/>
    </row>
    <row r="8" spans="1:29" s="7" customFormat="1" ht="16.5" x14ac:dyDescent="0.3">
      <c r="A8" s="12"/>
      <c r="B8" s="12"/>
      <c r="C8" s="12"/>
      <c r="D8" s="208">
        <v>3</v>
      </c>
      <c r="E8" s="124">
        <v>8.6850000000000005</v>
      </c>
      <c r="F8" s="157" t="s">
        <v>23</v>
      </c>
      <c r="G8" s="124">
        <v>0.67500000000000004</v>
      </c>
      <c r="H8" s="211">
        <f t="shared" si="0"/>
        <v>5.862375000000001</v>
      </c>
      <c r="I8" s="268"/>
      <c r="J8" s="124">
        <v>9.39</v>
      </c>
      <c r="K8" s="157" t="s">
        <v>23</v>
      </c>
      <c r="L8" s="124">
        <v>0.67500000000000004</v>
      </c>
      <c r="M8" s="209">
        <f t="shared" si="1"/>
        <v>6.3382500000000004</v>
      </c>
      <c r="N8" s="240"/>
      <c r="O8" s="12"/>
      <c r="P8" s="12"/>
    </row>
    <row r="9" spans="1:29" s="7" customFormat="1" ht="16.5" x14ac:dyDescent="0.3">
      <c r="A9" s="12"/>
      <c r="B9" s="12"/>
      <c r="C9" s="12"/>
      <c r="D9" s="208"/>
      <c r="E9" s="124"/>
      <c r="F9" s="212"/>
      <c r="G9" s="208"/>
      <c r="H9" s="210">
        <f>SUM(H5:H8)</f>
        <v>1.6683550000000009</v>
      </c>
      <c r="I9" s="213" t="s">
        <v>88</v>
      </c>
      <c r="J9" s="208"/>
      <c r="K9" s="208"/>
      <c r="L9" s="124"/>
      <c r="M9" s="210">
        <f>SUM(M5:M8)</f>
        <v>2.0663700000000009</v>
      </c>
      <c r="N9" s="207" t="s">
        <v>333</v>
      </c>
      <c r="O9" s="12"/>
      <c r="P9" s="50" t="s">
        <v>372</v>
      </c>
    </row>
    <row r="10" spans="1:29" s="7" customFormat="1" ht="16.5" x14ac:dyDescent="0.3">
      <c r="A10" s="12"/>
      <c r="B10" s="12"/>
      <c r="C10" s="12"/>
      <c r="D10" s="208"/>
      <c r="E10" s="124"/>
      <c r="F10" s="212"/>
      <c r="G10" s="208"/>
      <c r="H10" s="210"/>
      <c r="I10" s="214"/>
      <c r="J10" s="208"/>
      <c r="K10" s="208"/>
      <c r="L10" s="124"/>
      <c r="M10" s="210"/>
      <c r="N10" s="207"/>
      <c r="O10" s="12"/>
      <c r="P10" s="50"/>
    </row>
    <row r="11" spans="1:29" s="7" customFormat="1" ht="16.5" x14ac:dyDescent="0.3">
      <c r="A11" s="12"/>
      <c r="B11" s="12"/>
      <c r="C11" s="12"/>
      <c r="D11" s="259" t="s">
        <v>334</v>
      </c>
      <c r="E11" s="260"/>
      <c r="F11"/>
      <c r="G11"/>
      <c r="H11"/>
      <c r="I11"/>
      <c r="J11"/>
      <c r="K11"/>
      <c r="L11"/>
      <c r="M11"/>
      <c r="N11"/>
      <c r="O11" s="12"/>
      <c r="P11" s="12"/>
    </row>
    <row r="12" spans="1:29" s="7" customFormat="1" ht="16.5" x14ac:dyDescent="0.3">
      <c r="A12" s="12"/>
      <c r="B12" s="12"/>
      <c r="C12" s="12"/>
      <c r="D12" s="261" t="s">
        <v>312</v>
      </c>
      <c r="E12" s="262"/>
      <c r="F12"/>
      <c r="G12"/>
      <c r="H12"/>
      <c r="I12"/>
      <c r="J12"/>
      <c r="K12"/>
      <c r="L12"/>
      <c r="M12"/>
      <c r="N12"/>
      <c r="O12" s="12"/>
      <c r="P12" s="12"/>
    </row>
    <row r="13" spans="1:29" s="7" customFormat="1" ht="27.75" customHeight="1" x14ac:dyDescent="0.3">
      <c r="A13" s="12"/>
      <c r="B13" s="12"/>
      <c r="C13" s="12"/>
      <c r="D13" s="215" t="s">
        <v>335</v>
      </c>
      <c r="E13" s="69"/>
      <c r="F13" s="69"/>
      <c r="G13" s="69"/>
      <c r="H13" s="69"/>
      <c r="I13" s="40"/>
      <c r="J13" s="124">
        <f>(2.8+5.6)+0.285</f>
        <v>8.6849999999999987</v>
      </c>
      <c r="K13"/>
      <c r="L13"/>
      <c r="M13"/>
      <c r="N13"/>
      <c r="O13" s="12"/>
      <c r="P13" s="12"/>
    </row>
    <row r="14" spans="1:29" s="7" customFormat="1" ht="16.5" x14ac:dyDescent="0.3">
      <c r="A14" s="12"/>
      <c r="C14" s="12"/>
      <c r="D14" s="7" t="s">
        <v>336</v>
      </c>
      <c r="E14"/>
      <c r="F14"/>
      <c r="G14"/>
      <c r="H14"/>
      <c r="I14"/>
      <c r="J14" s="139">
        <f>(3.6+5.6)+0.19</f>
        <v>9.3899999999999988</v>
      </c>
      <c r="K14"/>
      <c r="L14"/>
      <c r="M14"/>
      <c r="N14"/>
      <c r="O14" s="12"/>
      <c r="P14" s="12"/>
    </row>
    <row r="15" spans="1:29" s="7" customFormat="1" ht="16.5" x14ac:dyDescent="0.3">
      <c r="A15" s="22"/>
      <c r="B15" s="25"/>
      <c r="C15" s="22"/>
      <c r="D15" s="25"/>
      <c r="E15" s="216"/>
      <c r="F15" s="216"/>
      <c r="G15" s="216"/>
      <c r="H15" s="216"/>
      <c r="I15" s="216"/>
      <c r="J15" s="211"/>
      <c r="K15" s="216"/>
      <c r="L15" s="216"/>
      <c r="M15" s="216"/>
      <c r="N15" s="216"/>
      <c r="O15" s="22"/>
      <c r="P15" s="22"/>
    </row>
    <row r="16" spans="1:29" x14ac:dyDescent="0.25">
      <c r="A16" s="150"/>
      <c r="C16" s="150"/>
      <c r="O16" s="150"/>
      <c r="P16" s="150"/>
    </row>
    <row r="17" spans="1:16" ht="16.5" x14ac:dyDescent="0.3">
      <c r="A17" s="150"/>
      <c r="B17" t="s">
        <v>70</v>
      </c>
      <c r="C17" s="150"/>
      <c r="D17" s="7" t="s">
        <v>337</v>
      </c>
      <c r="O17" s="217">
        <v>1</v>
      </c>
      <c r="P17" s="150"/>
    </row>
    <row r="18" spans="1:16" x14ac:dyDescent="0.25">
      <c r="A18" s="218"/>
      <c r="B18" s="216"/>
      <c r="C18" s="218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8"/>
      <c r="P18" s="218"/>
    </row>
  </sheetData>
  <mergeCells count="11">
    <mergeCell ref="D11:E11"/>
    <mergeCell ref="D12:E12"/>
    <mergeCell ref="A1:C1"/>
    <mergeCell ref="D3:G3"/>
    <mergeCell ref="D4:I4"/>
    <mergeCell ref="D1:N1"/>
    <mergeCell ref="J4:N4"/>
    <mergeCell ref="I5:I8"/>
    <mergeCell ref="N5:N8"/>
    <mergeCell ref="F6:F7"/>
    <mergeCell ref="K6:K7"/>
  </mergeCells>
  <pageMargins left="0.7" right="0.7" top="0.75" bottom="0.75" header="0.3" footer="0.3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74097750110044AC422E3B611B301B" ma:contentTypeVersion="8" ma:contentTypeDescription="Create a new document." ma:contentTypeScope="" ma:versionID="9e6409272b376f30acbc21b060c74369">
  <xsd:schema xmlns:xsd="http://www.w3.org/2001/XMLSchema" xmlns:xs="http://www.w3.org/2001/XMLSchema" xmlns:p="http://schemas.microsoft.com/office/2006/metadata/properties" xmlns:ns2="dad764df-bbee-4f97-86d8-114e82952415" xmlns:ns3="94c63d22-1077-4cc8-8a50-5601a087a1e9" targetNamespace="http://schemas.microsoft.com/office/2006/metadata/properties" ma:root="true" ma:fieldsID="37cceb0aaa2cb5e874a863461c55bc80" ns2:_="" ns3:_="">
    <xsd:import namespace="dad764df-bbee-4f97-86d8-114e82952415"/>
    <xsd:import namespace="94c63d22-1077-4cc8-8a50-5601a087a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764df-bbee-4f97-86d8-114e829524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63d22-1077-4cc8-8a50-5601a087a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596833-F567-4F0E-A6AE-99FC047E2781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94c63d22-1077-4cc8-8a50-5601a087a1e9"/>
    <ds:schemaRef ds:uri="dad764df-bbee-4f97-86d8-114e8295241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E41E15-4B10-4972-A9F7-50C6A4284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764df-bbee-4f97-86d8-114e82952415"/>
    <ds:schemaRef ds:uri="94c63d22-1077-4cc8-8a50-5601a087a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DFC6D1-91E8-4212-AD16-BF1B8831E9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Q1 a b</vt:lpstr>
      <vt:lpstr>Q2A</vt:lpstr>
      <vt:lpstr>Q2B</vt:lpstr>
      <vt:lpstr>Q3 a b</vt:lpstr>
      <vt:lpstr>Q3 c</vt:lpstr>
      <vt:lpstr>Q4A a b</vt:lpstr>
      <vt:lpstr>Q4B a </vt:lpstr>
      <vt:lpstr>Q4B a b</vt:lpstr>
      <vt:lpstr>'Q1 a b'!Print_Titles</vt:lpstr>
      <vt:lpstr>'Q4A a b'!Print_Titles</vt:lpstr>
    </vt:vector>
  </TitlesOfParts>
  <Manager/>
  <Company>Scottish Qualifications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Kirstie Casson</dc:creator>
  <cp:keywords/>
  <dc:description/>
  <cp:lastModifiedBy>Diane Santana</cp:lastModifiedBy>
  <cp:revision/>
  <dcterms:created xsi:type="dcterms:W3CDTF">2025-07-29T13:29:52Z</dcterms:created>
  <dcterms:modified xsi:type="dcterms:W3CDTF">2025-08-10T11:04:36Z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0x0101007374097750110044AC422E3B611B301B</vt:lpwstr>
  </property>
</Properties>
</file>