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qanow.sharepoint.com/sites/Digital_Assessment_Delivery/Accounting/Advanced Higher/Question Paper/MI-QPs-CATs/"/>
    </mc:Choice>
  </mc:AlternateContent>
  <xr:revisionPtr revIDLastSave="709" documentId="14_{1C1D4E0B-030F-4421-B852-48F7BEAD764F}" xr6:coauthVersionLast="47" xr6:coauthVersionMax="47" xr10:uidLastSave="{E92F893D-1D3D-480F-92FA-08360CC19762}"/>
  <bookViews>
    <workbookView xWindow="-120" yWindow="-120" windowWidth="24240" windowHeight="13140" xr2:uid="{01FD5F91-F43F-4104-815B-29C0A59437A9}"/>
  </bookViews>
  <sheets>
    <sheet name="Q1a Income Statement" sheetId="1" r:id="rId1"/>
    <sheet name="Q1b Retained Earnings" sheetId="2" r:id="rId2"/>
    <sheet name="Q1c SOFP" sheetId="3" r:id="rId3"/>
    <sheet name="Q2A a Cash Inflows" sheetId="4" r:id="rId4"/>
    <sheet name="Q2A a Cash Inflows (alt method)" sheetId="13" r:id="rId5"/>
    <sheet name="Q2A NPV b-e" sheetId="5" r:id="rId6"/>
    <sheet name="Q2B a i Realisation Acc" sheetId="6" r:id="rId7"/>
    <sheet name="Q2B a ii Equity Acc " sheetId="7" r:id="rId8"/>
    <sheet name="Q2B a iii CCE Acc and b" sheetId="8" r:id="rId9"/>
    <sheet name="Q3 a OICI and b Abs Costing" sheetId="9" r:id="rId10"/>
    <sheet name="Q3 calcs and cons SOFP " sheetId="10" r:id="rId11"/>
    <sheet name="Q4 a Contract Acc" sheetId="11" r:id="rId12"/>
    <sheet name="Q4 b theory and c paid amount" sheetId="12" r:id="rId13"/>
  </sheets>
  <definedNames>
    <definedName name="_Hlk134017142" localSheetId="0">'Q1a Income Statement'!#REF!</definedName>
    <definedName name="_xlnm.Print_Area" localSheetId="9">'Q3 a OICI and b Abs Costing'!$A$1:$G$38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3" l="1"/>
  <c r="F20" i="13"/>
  <c r="D20" i="13"/>
  <c r="F21" i="13"/>
  <c r="G21" i="13"/>
  <c r="D21" i="13"/>
  <c r="G19" i="13"/>
  <c r="F19" i="13"/>
  <c r="D19" i="13"/>
  <c r="F17" i="13"/>
  <c r="G17" i="13"/>
  <c r="D17" i="13"/>
  <c r="G23" i="13"/>
  <c r="G24" i="13" s="1"/>
  <c r="F10" i="13"/>
  <c r="G10" i="13"/>
  <c r="D10" i="13"/>
  <c r="G9" i="13"/>
  <c r="F9" i="13"/>
  <c r="D9" i="13"/>
  <c r="G8" i="13"/>
  <c r="G12" i="13" s="1"/>
  <c r="F8" i="13"/>
  <c r="D8" i="13"/>
  <c r="D12" i="13" s="1"/>
  <c r="F6" i="13"/>
  <c r="G6" i="13"/>
  <c r="D6" i="13"/>
  <c r="G13" i="13" l="1"/>
  <c r="D13" i="13"/>
  <c r="F12" i="13"/>
  <c r="F13" i="13" s="1"/>
  <c r="F23" i="13"/>
  <c r="F24" i="13" s="1"/>
  <c r="D23" i="13"/>
  <c r="D24" i="13" s="1"/>
  <c r="C7" i="12"/>
  <c r="C6" i="12"/>
  <c r="C8" i="12" s="1"/>
  <c r="E26" i="11"/>
  <c r="E18" i="11"/>
  <c r="E15" i="11"/>
  <c r="E12" i="11"/>
  <c r="F7" i="11"/>
  <c r="G18" i="10"/>
  <c r="E11" i="10"/>
  <c r="C7" i="10"/>
  <c r="E6" i="10"/>
  <c r="G5" i="10"/>
  <c r="C11" i="10" s="1"/>
  <c r="G34" i="10" l="1"/>
  <c r="G27" i="10"/>
  <c r="E19" i="11"/>
  <c r="F30" i="11" s="1"/>
  <c r="F31" i="11" s="1"/>
  <c r="F33" i="11" s="1"/>
  <c r="G11" i="10"/>
  <c r="C6" i="10"/>
  <c r="G6" i="10" s="1"/>
  <c r="E7" i="10" s="1"/>
  <c r="G7" i="10" s="1"/>
  <c r="G8" i="10" l="1"/>
  <c r="G9" i="10" s="1"/>
  <c r="D36" i="9" l="1"/>
  <c r="D33" i="9"/>
  <c r="D38" i="9" s="1"/>
  <c r="E27" i="9"/>
  <c r="E28" i="9" s="1"/>
  <c r="E29" i="9" s="1"/>
  <c r="D27" i="9"/>
  <c r="D28" i="9" s="1"/>
  <c r="D29" i="9" s="1"/>
  <c r="C27" i="9"/>
  <c r="C28" i="9" s="1"/>
  <c r="C29" i="9" s="1"/>
  <c r="E17" i="9"/>
  <c r="D17" i="9"/>
  <c r="C17" i="9"/>
  <c r="E16" i="9"/>
  <c r="D16" i="9"/>
  <c r="C16" i="9"/>
  <c r="E15" i="9"/>
  <c r="D15" i="9"/>
  <c r="C15" i="9"/>
  <c r="E14" i="9"/>
  <c r="D14" i="9"/>
  <c r="C14" i="9"/>
  <c r="E12" i="9"/>
  <c r="D12" i="9"/>
  <c r="C12" i="9"/>
  <c r="C5" i="9"/>
  <c r="C13" i="9" s="1"/>
  <c r="C7" i="9" l="1"/>
  <c r="C9" i="9" s="1"/>
  <c r="C18" i="9" l="1"/>
  <c r="C19" i="9" s="1"/>
  <c r="C20" i="9" s="1"/>
  <c r="C23" i="9" s="1"/>
  <c r="D5" i="9"/>
  <c r="D13" i="9" l="1"/>
  <c r="D7" i="9"/>
  <c r="D9" i="9" s="1"/>
  <c r="D18" i="9" l="1"/>
  <c r="D19" i="9" s="1"/>
  <c r="D20" i="9" s="1"/>
  <c r="D23" i="9" s="1"/>
  <c r="E5" i="9"/>
  <c r="E7" i="9" l="1"/>
  <c r="E9" i="9" s="1"/>
  <c r="E18" i="9" s="1"/>
  <c r="E13" i="9"/>
  <c r="E5" i="8"/>
  <c r="E6" i="8" s="1"/>
  <c r="E7" i="8" s="1"/>
  <c r="E8" i="8" s="1"/>
  <c r="E9" i="8" s="1"/>
  <c r="E10" i="8" s="1"/>
  <c r="E11" i="8" s="1"/>
  <c r="E12" i="8" s="1"/>
  <c r="E13" i="8" s="1"/>
  <c r="E14" i="8" s="1"/>
  <c r="E14" i="7"/>
  <c r="E15" i="7" s="1"/>
  <c r="E16" i="7" s="1"/>
  <c r="E17" i="7" s="1"/>
  <c r="E18" i="7" s="1"/>
  <c r="E19" i="7" s="1"/>
  <c r="E5" i="7"/>
  <c r="E6" i="7" s="1"/>
  <c r="E7" i="7" s="1"/>
  <c r="E8" i="7" s="1"/>
  <c r="E9" i="7" s="1"/>
  <c r="E6" i="6"/>
  <c r="E7" i="6" s="1"/>
  <c r="E8" i="6" s="1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F15" i="5"/>
  <c r="F14" i="5"/>
  <c r="F13" i="5"/>
  <c r="F12" i="5"/>
  <c r="F7" i="5"/>
  <c r="F6" i="5"/>
  <c r="F5" i="5"/>
  <c r="G27" i="4"/>
  <c r="F27" i="4"/>
  <c r="D27" i="4"/>
  <c r="C27" i="4"/>
  <c r="F15" i="4"/>
  <c r="H15" i="4" s="1"/>
  <c r="F14" i="4"/>
  <c r="H14" i="4" s="1"/>
  <c r="F13" i="4"/>
  <c r="H13" i="4" s="1"/>
  <c r="F7" i="4"/>
  <c r="H7" i="4" s="1"/>
  <c r="F6" i="4"/>
  <c r="H6" i="4" s="1"/>
  <c r="F5" i="4"/>
  <c r="H5" i="4" s="1"/>
  <c r="E36" i="3"/>
  <c r="E37" i="3"/>
  <c r="E35" i="3"/>
  <c r="D29" i="3"/>
  <c r="D17" i="3"/>
  <c r="D21" i="3" s="1"/>
  <c r="D11" i="3"/>
  <c r="D12" i="3" s="1"/>
  <c r="C8" i="2"/>
  <c r="C7" i="1"/>
  <c r="C10" i="1" s="1"/>
  <c r="C12" i="1" s="1"/>
  <c r="C14" i="1" s="1"/>
  <c r="C16" i="1" s="1"/>
  <c r="E19" i="9" l="1"/>
  <c r="E20" i="9" s="1"/>
  <c r="E23" i="9" s="1"/>
  <c r="F8" i="5"/>
  <c r="F16" i="5"/>
  <c r="D22" i="3"/>
</calcChain>
</file>

<file path=xl/sharedStrings.xml><?xml version="1.0" encoding="utf-8"?>
<sst xmlns="http://schemas.openxmlformats.org/spreadsheetml/2006/main" count="627" uniqueCount="327">
  <si>
    <t>Question</t>
  </si>
  <si>
    <t>Expected response(s)</t>
  </si>
  <si>
    <t>Max mark</t>
  </si>
  <si>
    <t>Additional Guidance</t>
  </si>
  <si>
    <t>Open Roads plc</t>
  </si>
  <si>
    <t>(a)</t>
  </si>
  <si>
    <t>Income Statement for the year ended 31 March Year 3</t>
  </si>
  <si>
    <t>£000</t>
  </si>
  <si>
    <t>Marks</t>
  </si>
  <si>
    <t>Revenue</t>
  </si>
  <si>
    <t>(1)</t>
  </si>
  <si>
    <t>Cost of sales</t>
  </si>
  <si>
    <r>
      <rPr>
        <b/>
        <sz val="11"/>
        <color rgb="FFFF0000"/>
        <rFont val="Trebuchet MS"/>
        <family val="2"/>
      </rPr>
      <t>(3)</t>
    </r>
    <r>
      <rPr>
        <b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>(see workings below)</t>
    </r>
  </si>
  <si>
    <t>Gross profit</t>
  </si>
  <si>
    <t>Selling and distribution expenses</t>
  </si>
  <si>
    <r>
      <rPr>
        <b/>
        <sz val="11"/>
        <color rgb="FFFF0000"/>
        <rFont val="Trebuchet MS"/>
        <family val="2"/>
      </rPr>
      <t>(2)</t>
    </r>
    <r>
      <rPr>
        <b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>(see workings below)</t>
    </r>
  </si>
  <si>
    <t>Administration expenses</t>
  </si>
  <si>
    <r>
      <rPr>
        <b/>
        <sz val="11"/>
        <color rgb="FFFF0000"/>
        <rFont val="Trebuchet MS"/>
        <family val="2"/>
      </rPr>
      <t>(6)</t>
    </r>
    <r>
      <rPr>
        <b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>(see workings below)</t>
    </r>
  </si>
  <si>
    <t>Profit from operations</t>
  </si>
  <si>
    <t>Loss on sale of property</t>
  </si>
  <si>
    <t>Profit before finance costs</t>
  </si>
  <si>
    <t>Finance costs</t>
  </si>
  <si>
    <t>(2)</t>
  </si>
  <si>
    <t>Profit before tax</t>
  </si>
  <si>
    <t>Taxation</t>
  </si>
  <si>
    <t xml:space="preserve">Profit for the year </t>
  </si>
  <si>
    <t>Labels/arithmetic/extraneous items</t>
  </si>
  <si>
    <r>
      <rPr>
        <sz val="11"/>
        <color rgb="FF000000"/>
        <rFont val="Trebuchet MS"/>
      </rPr>
      <t xml:space="preserve">All labels </t>
    </r>
    <r>
      <rPr>
        <b/>
        <sz val="11"/>
        <color rgb="FF000000"/>
        <rFont val="Trebuchet MS"/>
      </rPr>
      <t>(bold)</t>
    </r>
    <r>
      <rPr>
        <sz val="11"/>
        <color rgb="FF000000"/>
        <rFont val="Trebuchet MS"/>
      </rPr>
      <t xml:space="preserve"> present, arithmetic accuracy and no extraneous items: </t>
    </r>
    <r>
      <rPr>
        <b/>
        <sz val="11"/>
        <color rgb="FFFF0000"/>
        <rFont val="Trebuchet MS"/>
      </rPr>
      <t xml:space="preserve">2 marks (L/A/E)
</t>
    </r>
    <r>
      <rPr>
        <sz val="11"/>
        <color rgb="FF000000"/>
        <rFont val="Trebuchet MS"/>
      </rPr>
      <t>Up to 1 of the above not achieved:</t>
    </r>
    <r>
      <rPr>
        <sz val="11"/>
        <color rgb="FFFF0000"/>
        <rFont val="Trebuchet MS"/>
      </rPr>
      <t xml:space="preserve"> </t>
    </r>
    <r>
      <rPr>
        <b/>
        <sz val="11"/>
        <color rgb="FFFF0000"/>
        <rFont val="Trebuchet MS"/>
      </rPr>
      <t xml:space="preserve">1 mark
</t>
    </r>
    <r>
      <rPr>
        <sz val="11"/>
        <color rgb="FF000000"/>
        <rFont val="Trebuchet MS"/>
      </rPr>
      <t xml:space="preserve">Two or more of the above not achieved: </t>
    </r>
    <r>
      <rPr>
        <b/>
        <sz val="11"/>
        <color rgb="FFFF0000"/>
        <rFont val="Trebuchet MS"/>
      </rPr>
      <t>0 marks</t>
    </r>
  </si>
  <si>
    <t>Detailed workings for question 1 (a)</t>
  </si>
  <si>
    <t xml:space="preserve">Cost of sales </t>
  </si>
  <si>
    <t xml:space="preserve">S &amp; D </t>
  </si>
  <si>
    <t>Admin</t>
  </si>
  <si>
    <t>Purchases</t>
  </si>
  <si>
    <r>
      <rPr>
        <b/>
        <sz val="11"/>
        <color rgb="FFFF0000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purchases </t>
    </r>
    <r>
      <rPr>
        <b/>
        <sz val="11"/>
        <color theme="1"/>
        <rFont val="Trebuchet MS"/>
        <family val="2"/>
      </rPr>
      <t>and</t>
    </r>
    <r>
      <rPr>
        <sz val="11"/>
        <color theme="1"/>
        <rFont val="Trebuchet MS"/>
        <family val="2"/>
      </rPr>
      <t xml:space="preserve"> opening inventory.</t>
    </r>
  </si>
  <si>
    <t>Opening inventory</t>
  </si>
  <si>
    <t>Staff costs: Sales staff</t>
  </si>
  <si>
    <r>
      <rPr>
        <b/>
        <sz val="11"/>
        <color rgb="FFFF0000"/>
        <rFont val="Trebuchet MS"/>
        <family val="2"/>
      </rPr>
      <t>1 mark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>for both staff costs  and advertising.</t>
    </r>
  </si>
  <si>
    <t>Advertising</t>
  </si>
  <si>
    <t>Staff costs: Administration</t>
  </si>
  <si>
    <r>
      <rPr>
        <b/>
        <sz val="11"/>
        <color rgb="FFFF0000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staff costs and general administration.</t>
    </r>
  </si>
  <si>
    <t>General administration</t>
  </si>
  <si>
    <t>Directors’ remuneration</t>
  </si>
  <si>
    <r>
      <rPr>
        <b/>
        <sz val="11"/>
        <color rgb="FFFF0000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correct split across all three categories.</t>
    </r>
  </si>
  <si>
    <t>Cost value of property net of land</t>
  </si>
  <si>
    <r>
      <t xml:space="preserve">£14,400-£2,400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= £12,000</t>
    </r>
  </si>
  <si>
    <r>
      <rPr>
        <b/>
        <sz val="11"/>
        <color rgb="FFFF0000"/>
        <rFont val="Trebuchet MS"/>
        <family val="2"/>
      </rPr>
      <t>1 mark</t>
    </r>
    <r>
      <rPr>
        <sz val="11"/>
        <rFont val="Trebuchet MS"/>
        <family val="2"/>
      </rPr>
      <t xml:space="preserve"> </t>
    </r>
    <r>
      <rPr>
        <sz val="11"/>
        <color theme="1"/>
        <rFont val="Trebuchet MS"/>
        <family val="2"/>
      </rPr>
      <t>for correct calculation of correct cost value of property.</t>
    </r>
  </si>
  <si>
    <t>Cost value net of disposed asset</t>
  </si>
  <si>
    <r>
      <t xml:space="preserve">£12,000 - £1,800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= £10,200</t>
    </r>
  </si>
  <si>
    <t>Depreciation charge</t>
  </si>
  <si>
    <r>
      <t xml:space="preserve">£10,200 × 5%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= £510</t>
    </r>
  </si>
  <si>
    <r>
      <rPr>
        <b/>
        <sz val="11"/>
        <color rgb="FFFF0000"/>
        <rFont val="Trebuchet MS"/>
        <family val="2"/>
      </rPr>
      <t xml:space="preserve">2 marks </t>
    </r>
    <r>
      <rPr>
        <sz val="11"/>
        <color theme="1"/>
        <rFont val="Trebuchet MS"/>
        <family val="2"/>
      </rPr>
      <t>for correct calculation of annual depreciation charge.</t>
    </r>
  </si>
  <si>
    <t>Depreciation: property (continued)</t>
  </si>
  <si>
    <t>(£510 x 70%) = £357</t>
  </si>
  <si>
    <t>(£510 x  10%) = £51</t>
  </si>
  <si>
    <t>(£510 x 20%) = £102</t>
  </si>
  <si>
    <r>
      <rPr>
        <b/>
        <sz val="11"/>
        <color rgb="FFFF0000"/>
        <rFont val="Trebuchet MS"/>
        <family val="2"/>
      </rPr>
      <t>1 mark</t>
    </r>
    <r>
      <rPr>
        <b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>for correct apportionment across three expense areas.</t>
    </r>
  </si>
  <si>
    <t>Depreciation: Shop Fittings</t>
  </si>
  <si>
    <t xml:space="preserve">   (9,000-3,240) x 20% = £1,152</t>
  </si>
  <si>
    <t>1 mark</t>
  </si>
  <si>
    <r>
      <t xml:space="preserve">Closing inventory
(2,565+2,940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) + 2,925 </t>
    </r>
    <r>
      <rPr>
        <b/>
        <sz val="11"/>
        <color rgb="FFFF0000"/>
        <rFont val="Trebuchet MS"/>
        <family val="2"/>
      </rPr>
      <t>(1)</t>
    </r>
  </si>
  <si>
    <r>
      <rPr>
        <b/>
        <sz val="11"/>
        <color rgb="FFFF0000"/>
        <rFont val="Trebuchet MS"/>
        <family val="2"/>
      </rPr>
      <t>2 marks</t>
    </r>
    <r>
      <rPr>
        <sz val="11"/>
        <rFont val="Trebuchet MS"/>
        <family val="2"/>
      </rPr>
      <t xml:space="preserve"> </t>
    </r>
    <r>
      <rPr>
        <sz val="11"/>
        <color theme="1"/>
        <rFont val="Trebuchet MS"/>
        <family val="2"/>
      </rPr>
      <t>for closing inventory: mark as per guidance</t>
    </r>
  </si>
  <si>
    <t>Loss on Sale of Property</t>
  </si>
  <si>
    <r>
      <t>£1,500 – £1,620 = (£120)</t>
    </r>
    <r>
      <rPr>
        <b/>
        <sz val="11"/>
        <color theme="1"/>
        <rFont val="Trebuchet MS"/>
        <family val="2"/>
      </rPr>
      <t xml:space="preserve"> </t>
    </r>
    <r>
      <rPr>
        <b/>
        <sz val="11"/>
        <color rgb="FFFF0000"/>
        <rFont val="Trebuchet MS"/>
        <family val="2"/>
      </rPr>
      <t>(1)</t>
    </r>
  </si>
  <si>
    <t xml:space="preserve">Finance Costs </t>
  </si>
  <si>
    <r>
      <t>(£2,250-£750)</t>
    </r>
    <r>
      <rPr>
        <b/>
        <sz val="11"/>
        <color theme="1"/>
        <rFont val="Trebuchet MS"/>
        <family val="2"/>
      </rPr>
      <t xml:space="preserve"> </t>
    </r>
    <r>
      <rPr>
        <b/>
        <sz val="11"/>
        <color rgb="FFFF0000"/>
        <rFont val="Trebuchet MS"/>
        <family val="2"/>
      </rPr>
      <t>(1)</t>
    </r>
    <r>
      <rPr>
        <b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x 6%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=</t>
    </r>
    <r>
      <rPr>
        <b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>(£90)</t>
    </r>
  </si>
  <si>
    <t>(b)</t>
  </si>
  <si>
    <t>Statement of retained earnings for the year ended 31 March Year 3</t>
  </si>
  <si>
    <t>Opening retained earnings</t>
  </si>
  <si>
    <t>*</t>
  </si>
  <si>
    <t>Profit for the year</t>
  </si>
  <si>
    <r>
      <rPr>
        <b/>
        <sz val="11"/>
        <color rgb="FFFF0000"/>
        <rFont val="Trebuchet MS"/>
        <family val="2"/>
      </rPr>
      <t>*(1)</t>
    </r>
    <r>
      <rPr>
        <b/>
        <sz val="11"/>
        <color rgb="FFFF0000"/>
        <rFont val="Times New Roman"/>
        <family val="1"/>
      </rPr>
      <t>  </t>
    </r>
    <r>
      <rPr>
        <sz val="11"/>
        <color theme="1"/>
        <rFont val="Times New Roman"/>
        <family val="1"/>
      </rPr>
      <t xml:space="preserve"> </t>
    </r>
    <r>
      <rPr>
        <sz val="11"/>
        <color rgb="FFFF0000"/>
        <rFont val="Trebuchet MS"/>
        <family val="2"/>
      </rPr>
      <t>*</t>
    </r>
    <r>
      <rPr>
        <sz val="11"/>
        <color theme="1"/>
        <rFont val="Trebuchet MS"/>
        <family val="2"/>
      </rPr>
      <t>for both</t>
    </r>
  </si>
  <si>
    <t>Dividends paid</t>
  </si>
  <si>
    <t>Closing retained earnings</t>
  </si>
  <si>
    <t>(c)</t>
  </si>
  <si>
    <t>Statement of Financial Position as at 31 March Year 3</t>
  </si>
  <si>
    <t>Non-Current Assets</t>
  </si>
  <si>
    <t>Tangible</t>
  </si>
  <si>
    <t>(6)</t>
  </si>
  <si>
    <t xml:space="preserve">see workings below </t>
  </si>
  <si>
    <t>Current Assets</t>
  </si>
  <si>
    <t>Inventory</t>
  </si>
  <si>
    <t>Trade Receivables</t>
  </si>
  <si>
    <t>*(1) 
for both</t>
  </si>
  <si>
    <t>Cash and Cash Equivalents</t>
  </si>
  <si>
    <r>
      <t xml:space="preserve">7,860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+1,500 </t>
    </r>
    <r>
      <rPr>
        <b/>
        <sz val="11"/>
        <color rgb="FFFF0000"/>
        <rFont val="Trebuchet MS"/>
        <family val="2"/>
      </rPr>
      <t>(1)</t>
    </r>
  </si>
  <si>
    <t>Total Assets</t>
  </si>
  <si>
    <t>Current Liabilities</t>
  </si>
  <si>
    <t>Trade and other Payables</t>
  </si>
  <si>
    <r>
      <t xml:space="preserve">11,184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+ 30 </t>
    </r>
    <r>
      <rPr>
        <b/>
        <sz val="11"/>
        <color rgb="FFFF0000"/>
        <rFont val="Trebuchet MS"/>
        <family val="2"/>
      </rPr>
      <t>(1)</t>
    </r>
  </si>
  <si>
    <t>6% Debentures (Year 4)</t>
  </si>
  <si>
    <r>
      <t xml:space="preserve">(2,250-750)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x 10% </t>
    </r>
    <r>
      <rPr>
        <b/>
        <sz val="11"/>
        <color rgb="FFFF0000"/>
        <rFont val="Trebuchet MS"/>
        <family val="2"/>
      </rPr>
      <t>(1)</t>
    </r>
  </si>
  <si>
    <t>Taxes Payable</t>
  </si>
  <si>
    <t>Non-current Liabilities</t>
  </si>
  <si>
    <t>6% Debentures (Years 5-7)</t>
  </si>
  <si>
    <t>Total Liabilities</t>
  </si>
  <si>
    <t>Net Assets</t>
  </si>
  <si>
    <t>Equity</t>
  </si>
  <si>
    <t>Ordinary Shares</t>
  </si>
  <si>
    <t xml:space="preserve">Share Premium </t>
  </si>
  <si>
    <t>Retained Earnings</t>
  </si>
  <si>
    <t xml:space="preserve">Revaluation Reserve </t>
  </si>
  <si>
    <t>Total Equity</t>
  </si>
  <si>
    <t>Detailed workings for question (c): depreciation on property and shop fittings</t>
  </si>
  <si>
    <t>Property</t>
  </si>
  <si>
    <t>Cost</t>
  </si>
  <si>
    <t>Acc Dep</t>
  </si>
  <si>
    <t>NBV</t>
  </si>
  <si>
    <t>1 April Year 2</t>
  </si>
  <si>
    <t>Disposal</t>
  </si>
  <si>
    <t>(1 for line)</t>
  </si>
  <si>
    <t>Depreciation</t>
  </si>
  <si>
    <t>31 March Year 3</t>
  </si>
  <si>
    <t>Land</t>
  </si>
  <si>
    <t>Total Property Value</t>
  </si>
  <si>
    <t>Shop Fittings</t>
  </si>
  <si>
    <r>
      <t xml:space="preserve">9,000 </t>
    </r>
    <r>
      <rPr>
        <b/>
        <sz val="11"/>
        <color rgb="FFFF0000"/>
        <rFont val="Trebuchet MS"/>
        <family val="2"/>
      </rPr>
      <t>(1)</t>
    </r>
  </si>
  <si>
    <r>
      <t>(4,392)</t>
    </r>
    <r>
      <rPr>
        <sz val="11"/>
        <color rgb="FFFF0000"/>
        <rFont val="Trebuchet MS"/>
        <family val="2"/>
      </rPr>
      <t xml:space="preserve"> </t>
    </r>
    <r>
      <rPr>
        <b/>
        <sz val="11"/>
        <color rgb="FFFF0000"/>
        <rFont val="Trebuchet MS"/>
        <family val="2"/>
      </rPr>
      <t>(1)</t>
    </r>
  </si>
  <si>
    <t>Total Tangible Non-current Assets</t>
  </si>
  <si>
    <t>2A</t>
  </si>
  <si>
    <t>Current Machinery – Cash Inflows</t>
  </si>
  <si>
    <t>Sales</t>
  </si>
  <si>
    <t>CPU</t>
  </si>
  <si>
    <t>Total Cont</t>
  </si>
  <si>
    <t>Maint</t>
  </si>
  <si>
    <t>Cash Flow</t>
  </si>
  <si>
    <r>
      <rPr>
        <sz val="11"/>
        <color rgb="FFFF0000"/>
        <rFont val="Trebuchet MS"/>
        <family val="2"/>
      </rPr>
      <t xml:space="preserve">* </t>
    </r>
    <r>
      <rPr>
        <sz val="11"/>
        <color theme="1"/>
        <rFont val="Trebuchet MS"/>
        <family val="2"/>
      </rPr>
      <t xml:space="preserve">For Year 1 CPU figure award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correct calculation of overheads and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correct calculation of CPU.</t>
    </r>
  </si>
  <si>
    <t>Year 1</t>
  </si>
  <si>
    <t>*(2)</t>
  </si>
  <si>
    <t>Year 2</t>
  </si>
  <si>
    <t>Year 3</t>
  </si>
  <si>
    <t>Be aware of consequentiality.</t>
  </si>
  <si>
    <t>New Machinery – Cash Inflows</t>
  </si>
  <si>
    <t>CPU working</t>
  </si>
  <si>
    <t>Year 2 &amp; 3</t>
  </si>
  <si>
    <t>Current</t>
  </si>
  <si>
    <t>New</t>
  </si>
  <si>
    <t>Selling Price</t>
  </si>
  <si>
    <t>Direct Materials</t>
  </si>
  <si>
    <t>Direct Labour</t>
  </si>
  <si>
    <t>Overheads</t>
  </si>
  <si>
    <t>Contribution p.u.</t>
  </si>
  <si>
    <t>Sales Revenues</t>
  </si>
  <si>
    <t>(£36 x 50,000)</t>
  </si>
  <si>
    <t>Costs:</t>
  </si>
  <si>
    <t>DM</t>
  </si>
  <si>
    <t>Y1:£12 pu; Y2: £13.44 pu</t>
  </si>
  <si>
    <t>1 (Y2&amp;3)</t>
  </si>
  <si>
    <t>DL</t>
  </si>
  <si>
    <t>Y1:£9 pu;    Y2: £10.08 pu</t>
  </si>
  <si>
    <t>VO</t>
  </si>
  <si>
    <t>(£12-£1 dep) = £11 pu</t>
  </si>
  <si>
    <t>1 line</t>
  </si>
  <si>
    <t>Total Costs</t>
  </si>
  <si>
    <t xml:space="preserve">Net Cash Inflow </t>
  </si>
  <si>
    <t>(£36 x 54,000)</t>
  </si>
  <si>
    <t>* 1 for all revenues correct</t>
  </si>
  <si>
    <t>Y1:£12 pu;                Y2: £13.44 pu</t>
  </si>
  <si>
    <t>Y1:£7 pu;                  Y2: £7.84 pu</t>
  </si>
  <si>
    <t>(£11.50 - £5.50 dep) = £6 pu</t>
  </si>
  <si>
    <t xml:space="preserve">Current Machinery </t>
  </si>
  <si>
    <t>Year</t>
  </si>
  <si>
    <t>Disc Factor @11%</t>
  </si>
  <si>
    <t>Present Value</t>
  </si>
  <si>
    <t xml:space="preserve">    (1)</t>
  </si>
  <si>
    <t xml:space="preserve">New Machinery </t>
  </si>
  <si>
    <t>Disc Factor @15%</t>
  </si>
  <si>
    <t>*(1)</t>
  </si>
  <si>
    <t>* Both totals correct for mark.</t>
  </si>
  <si>
    <t>Retain current machinery as it has a higher NPV return.</t>
  </si>
  <si>
    <t>Need reason for mark.</t>
  </si>
  <si>
    <t>(d)</t>
  </si>
  <si>
    <t>IRR</t>
  </si>
  <si>
    <t>11 + ((320,000/393,000) x 9))</t>
  </si>
  <si>
    <t xml:space="preserve">             (1)       (1)          (1)</t>
  </si>
  <si>
    <t>(e)</t>
  </si>
  <si>
    <t>The cost of borrowing/financing for a firm.</t>
  </si>
  <si>
    <t>The opportunity cost of what a firm could receive if funds invested elsewhere.</t>
  </si>
  <si>
    <t>An estimation as to what level present cash values will reduce in the future.</t>
  </si>
  <si>
    <t>2B</t>
  </si>
  <si>
    <t xml:space="preserve">Gardiner and Ross </t>
  </si>
  <si>
    <t xml:space="preserve">(a) </t>
  </si>
  <si>
    <t>REALISATION ACCOUNT</t>
  </si>
  <si>
    <t>DR</t>
  </si>
  <si>
    <t>CR</t>
  </si>
  <si>
    <t>BALANCE</t>
  </si>
  <si>
    <t>dr</t>
  </si>
  <si>
    <t>Vehicles</t>
  </si>
  <si>
    <t>Equipment</t>
  </si>
  <si>
    <t>*(1) for all</t>
  </si>
  <si>
    <t>Equity Gardiner - Land</t>
  </si>
  <si>
    <t xml:space="preserve">Equity Ross - Vehicles </t>
  </si>
  <si>
    <t>**</t>
  </si>
  <si>
    <t xml:space="preserve">Equity Ross - Equipment </t>
  </si>
  <si>
    <t>Cash and Cash Equivalents Sale Vehicles (Scrap)</t>
  </si>
  <si>
    <t>Cash and Cash Equivalents Sale Equipment (Scrap)</t>
  </si>
  <si>
    <t>Cash and Cash Equivalents Inventory</t>
  </si>
  <si>
    <t>**(1) for all 3</t>
  </si>
  <si>
    <t xml:space="preserve">If labelled as Profit but treated as loss, do not award mark but treat as consequential in equity Accounts. Apply same rule if candidate calculates a profit but treats as a loss. </t>
  </si>
  <si>
    <t>Discount Received</t>
  </si>
  <si>
    <t>Dissolution Expenses</t>
  </si>
  <si>
    <t>Share of Loss Gardiner</t>
  </si>
  <si>
    <t>#</t>
  </si>
  <si>
    <t>Share of Loss Ross</t>
  </si>
  <si>
    <t>#(1) for both</t>
  </si>
  <si>
    <t xml:space="preserve">(b) </t>
  </si>
  <si>
    <t>EQUITY ACCOUNT GARDINER</t>
  </si>
  <si>
    <t xml:space="preserve"> DR </t>
  </si>
  <si>
    <t xml:space="preserve"> CR </t>
  </si>
  <si>
    <t xml:space="preserve"> BALANCE </t>
  </si>
  <si>
    <t>Balance</t>
  </si>
  <si>
    <t>cr</t>
  </si>
  <si>
    <t>Current Account</t>
  </si>
  <si>
    <t>Realisation Acc (Land)</t>
  </si>
  <si>
    <t>Share of Loss</t>
  </si>
  <si>
    <t>EQUITY ACCOUNT ROSS</t>
  </si>
  <si>
    <t>*(1) for all 4 entries</t>
  </si>
  <si>
    <t>Realisation Account (Vehicles)</t>
  </si>
  <si>
    <t>***</t>
  </si>
  <si>
    <t>Realisation Account (Equipment)</t>
  </si>
  <si>
    <t>***(1) for both</t>
  </si>
  <si>
    <t>**(1) for both</t>
  </si>
  <si>
    <t xml:space="preserve">(c) </t>
  </si>
  <si>
    <t>CASH AND CASH EQUIVALENTS ACCOUNT</t>
  </si>
  <si>
    <t xml:space="preserve">Realisation (Vehicles) </t>
  </si>
  <si>
    <t>Realisation (Equipment)</t>
  </si>
  <si>
    <t xml:space="preserve">Realisation (Inventory) </t>
  </si>
  <si>
    <t>Loan Repaid Gardiner</t>
  </si>
  <si>
    <t>Trade Payables</t>
  </si>
  <si>
    <t>Equity Gardiner</t>
  </si>
  <si>
    <t>Equity Ross</t>
  </si>
  <si>
    <t xml:space="preserve">Numbers plc </t>
  </si>
  <si>
    <t>JAN</t>
  </si>
  <si>
    <t>FEB</t>
  </si>
  <si>
    <t>MARCH</t>
  </si>
  <si>
    <t>Opening Inventory</t>
  </si>
  <si>
    <t>(2) - (1) for Jan and (1) Feb/March</t>
  </si>
  <si>
    <t>Production</t>
  </si>
  <si>
    <t>Closing Inventory</t>
  </si>
  <si>
    <t>(1) for line</t>
  </si>
  <si>
    <t>Absorption Costing Profit Statement</t>
  </si>
  <si>
    <t>(2) - (1) for Jan and (1) for Feb/March*</t>
  </si>
  <si>
    <t>Material</t>
  </si>
  <si>
    <t>Labour</t>
  </si>
  <si>
    <t>Variable Overheads</t>
  </si>
  <si>
    <t>#(2) - (1) for Jan all correct and 1 for Feb/March all correct</t>
  </si>
  <si>
    <t>Fixed Overheads absorbed</t>
  </si>
  <si>
    <t>(2) - (1) for 40p calc correctly and (1) for line</t>
  </si>
  <si>
    <t>**(1) for opening and closing inventory</t>
  </si>
  <si>
    <t>Profit</t>
  </si>
  <si>
    <t>Over/Under absorption</t>
  </si>
  <si>
    <t xml:space="preserve"> Under</t>
  </si>
  <si>
    <t xml:space="preserve"> Over</t>
  </si>
  <si>
    <t>(2) - (1) for Jan and (1) for Feb/March</t>
  </si>
  <si>
    <t>(1) for line - must be labelled and no arithmetic errors</t>
  </si>
  <si>
    <t>* workings for Sales part b</t>
  </si>
  <si>
    <t>Sales in units</t>
  </si>
  <si>
    <t>Price box 10 = £80</t>
  </si>
  <si>
    <t>Sales in boxes</t>
  </si>
  <si>
    <t>Sales value</t>
  </si>
  <si>
    <t>Variable Overhead</t>
  </si>
  <si>
    <t>Fixed Overhead</t>
  </si>
  <si>
    <t>TOTAL COSTS</t>
  </si>
  <si>
    <t>Goodwill calculation</t>
  </si>
  <si>
    <t>(c) (i)</t>
  </si>
  <si>
    <t xml:space="preserve">Percentage purchased </t>
  </si>
  <si>
    <t>Amount paid</t>
  </si>
  <si>
    <t>Value Taken Over</t>
  </si>
  <si>
    <t>+</t>
  </si>
  <si>
    <t>=</t>
  </si>
  <si>
    <t>x</t>
  </si>
  <si>
    <t>Goodwill</t>
  </si>
  <si>
    <t>-</t>
  </si>
  <si>
    <t>First Year Write off</t>
  </si>
  <si>
    <t>Goodwill at year end</t>
  </si>
  <si>
    <t>(c) (ii)</t>
  </si>
  <si>
    <t>Non-controlling interest</t>
  </si>
  <si>
    <t>(c) (iii)</t>
  </si>
  <si>
    <t>Numbers Group Consolidated Statement of Financial Position at 31 December Year 2</t>
  </si>
  <si>
    <t xml:space="preserve">Non-Current Assets </t>
  </si>
  <si>
    <t>Tangible (5,200 + 1,200)</t>
  </si>
  <si>
    <t xml:space="preserve">Goodwill </t>
  </si>
  <si>
    <r>
      <t xml:space="preserve">Current Assets </t>
    </r>
    <r>
      <rPr>
        <sz val="11"/>
        <color theme="1"/>
        <rFont val="Trebuchet MS"/>
        <family val="2"/>
      </rPr>
      <t>(3,600 + 1,000)</t>
    </r>
  </si>
  <si>
    <r>
      <t xml:space="preserve">Current Liabilities </t>
    </r>
    <r>
      <rPr>
        <sz val="11"/>
        <color theme="1"/>
        <rFont val="Trebuchet MS"/>
        <family val="2"/>
      </rPr>
      <t>(2,400 + 600)</t>
    </r>
  </si>
  <si>
    <t>Non-Current Liabilities</t>
  </si>
  <si>
    <t>10% Debentures (500 + 50)</t>
  </si>
  <si>
    <t>Share Premium</t>
  </si>
  <si>
    <r>
      <t xml:space="preserve">Retained Earnings (400 </t>
    </r>
    <r>
      <rPr>
        <b/>
        <sz val="11"/>
        <color rgb="FFFF0000"/>
        <rFont val="Trebuchet MS"/>
        <family val="2"/>
      </rPr>
      <t>(1)</t>
    </r>
    <r>
      <rPr>
        <b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- 121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>)</t>
    </r>
  </si>
  <si>
    <t xml:space="preserve">Non-controlling Interest </t>
  </si>
  <si>
    <t>L/A/E</t>
  </si>
  <si>
    <t>Vermeer Construction – Contract Account for year ended 31 December Year 3</t>
  </si>
  <si>
    <t>Work Completed &amp; Certified 
(19,600 - 8,300)</t>
  </si>
  <si>
    <t>Not Yet Certified</t>
  </si>
  <si>
    <t>Materials at start</t>
  </si>
  <si>
    <t>Materials purchased</t>
  </si>
  <si>
    <t>Materials Issued</t>
  </si>
  <si>
    <t>Materials at end</t>
  </si>
  <si>
    <r>
      <rPr>
        <sz val="11"/>
        <color rgb="FFFF0000"/>
        <rFont val="Trebuchet MS"/>
        <family val="2"/>
      </rPr>
      <t>*</t>
    </r>
    <r>
      <rPr>
        <sz val="11"/>
        <color theme="1"/>
        <rFont val="Trebuchet MS"/>
        <family val="2"/>
      </rPr>
      <t>one for both correct material balances</t>
    </r>
  </si>
  <si>
    <t>Wages &amp; Salaries</t>
  </si>
  <si>
    <t>Add Accrual</t>
  </si>
  <si>
    <t>Direct Expenses paid</t>
  </si>
  <si>
    <t>Less Prepayment</t>
  </si>
  <si>
    <t>Prime Cost</t>
  </si>
  <si>
    <t>Award 1 mark for Prime Cost only if labelled</t>
  </si>
  <si>
    <t>Subcontracting Costs</t>
  </si>
  <si>
    <t>Machinery Depreciation:</t>
  </si>
  <si>
    <t>Machinery at Start</t>
  </si>
  <si>
    <t>Less NBV of Machinery Sold</t>
  </si>
  <si>
    <t>Add Machinery Sent to Site</t>
  </si>
  <si>
    <t>Less Machinery at End</t>
  </si>
  <si>
    <t>Loss on Sale of Machinery (200-50)</t>
  </si>
  <si>
    <t>Head Office Costs</t>
  </si>
  <si>
    <r>
      <t xml:space="preserve">620/0.4 = 1,550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</t>
    </r>
  </si>
  <si>
    <r>
      <t xml:space="preserve">x 0.6 </t>
    </r>
    <r>
      <rPr>
        <b/>
        <sz val="11"/>
        <color rgb="FFFF0000"/>
        <rFont val="Trebuchet MS"/>
        <family val="2"/>
      </rPr>
      <t>(1)</t>
    </r>
  </si>
  <si>
    <r>
      <t xml:space="preserve">(5,920 + 480)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x 20% </t>
    </r>
    <r>
      <rPr>
        <b/>
        <sz val="11"/>
        <color rgb="FFFF0000"/>
        <rFont val="Trebuchet MS"/>
        <family val="2"/>
      </rPr>
      <t>(1)</t>
    </r>
  </si>
  <si>
    <t>Notional Profit</t>
  </si>
  <si>
    <t>Transfer to Inc Statement</t>
  </si>
  <si>
    <r>
      <t>1,010</t>
    </r>
    <r>
      <rPr>
        <b/>
        <sz val="11"/>
        <color rgb="FFFF0000"/>
        <rFont val="Trebuchet MS"/>
        <family val="2"/>
      </rPr>
      <t xml:space="preserve"> (1)</t>
    </r>
    <r>
      <rPr>
        <sz val="11"/>
        <color theme="1"/>
        <rFont val="Trebuchet MS"/>
        <family val="2"/>
      </rPr>
      <t xml:space="preserve"> x (19,600/24,500) </t>
    </r>
    <r>
      <rPr>
        <b/>
        <sz val="11"/>
        <color rgb="FFFF0000"/>
        <rFont val="Trebuchet MS"/>
        <family val="2"/>
      </rPr>
      <t>(1)</t>
    </r>
  </si>
  <si>
    <t>Profit Retained/CF</t>
  </si>
  <si>
    <r>
      <t xml:space="preserve">In order to apply the principle of conservatism or prudence. </t>
    </r>
    <r>
      <rPr>
        <b/>
        <sz val="11"/>
        <color rgb="FFFF0000"/>
        <rFont val="Trebuchet MS"/>
        <family val="2"/>
      </rPr>
      <t>(1)</t>
    </r>
  </si>
  <si>
    <r>
      <t xml:space="preserve">Any 2 for </t>
    </r>
    <r>
      <rPr>
        <b/>
        <sz val="11"/>
        <color rgb="FF000000"/>
        <rFont val="Trebuchet MS"/>
        <family val="2"/>
      </rPr>
      <t>1 mark</t>
    </r>
    <r>
      <rPr>
        <sz val="11"/>
        <color rgb="FF000000"/>
        <rFont val="Trebuchet MS"/>
        <family val="2"/>
      </rPr>
      <t xml:space="preserve"> each.</t>
    </r>
  </si>
  <si>
    <r>
      <t xml:space="preserve">This recognises the possibility of future losses on the contract. </t>
    </r>
    <r>
      <rPr>
        <b/>
        <sz val="11"/>
        <color rgb="FFFF0000"/>
        <rFont val="Trebuchet MS"/>
        <family val="2"/>
      </rPr>
      <t>(1)</t>
    </r>
  </si>
  <si>
    <r>
      <t xml:space="preserve">Formula used as a compromise between matching costs with revenue on one hand and prudence on the other. </t>
    </r>
    <r>
      <rPr>
        <b/>
        <sz val="11"/>
        <color rgb="FFFF0000"/>
        <rFont val="Trebuchet MS"/>
        <family val="2"/>
      </rPr>
      <t>(1)</t>
    </r>
  </si>
  <si>
    <t>Cash due at end of 3 years (24,500 ÷ 4/3)</t>
  </si>
  <si>
    <t>Less value of Year 3 retention (11,300 x 15%)</t>
  </si>
  <si>
    <t>Total Paid</t>
  </si>
  <si>
    <r>
      <t xml:space="preserve">All labels </t>
    </r>
    <r>
      <rPr>
        <b/>
        <sz val="11"/>
        <color theme="1"/>
        <rFont val="Trebuchet MS"/>
        <family val="2"/>
      </rPr>
      <t>(bold)</t>
    </r>
    <r>
      <rPr>
        <sz val="11"/>
        <color theme="1"/>
        <rFont val="Trebuchet MS"/>
        <family val="2"/>
      </rPr>
      <t xml:space="preserve"> present, arithmetic accuracy and no extraneous items: </t>
    </r>
    <r>
      <rPr>
        <b/>
        <sz val="11"/>
        <color rgb="FFFF0000"/>
        <rFont val="Trebuchet MS"/>
        <family val="2"/>
      </rPr>
      <t>2 marks (L/A/E)</t>
    </r>
    <r>
      <rPr>
        <sz val="11"/>
        <color theme="1"/>
        <rFont val="Trebuchet MS"/>
        <family val="2"/>
      </rPr>
      <t xml:space="preserve">
Up to 1 of the above not achieved:</t>
    </r>
    <r>
      <rPr>
        <b/>
        <sz val="11"/>
        <color rgb="FFFF0000"/>
        <rFont val="Trebuchet MS"/>
        <family val="2"/>
      </rPr>
      <t xml:space="preserve"> 1 mark</t>
    </r>
    <r>
      <rPr>
        <sz val="11"/>
        <color theme="1"/>
        <rFont val="Trebuchet MS"/>
        <family val="2"/>
      </rPr>
      <t xml:space="preserve">
Two or more of the above not achieved: </t>
    </r>
    <r>
      <rPr>
        <b/>
        <sz val="11"/>
        <color rgb="FFFF0000"/>
        <rFont val="Trebuchet MS"/>
        <family val="2"/>
      </rPr>
      <t>0 marks</t>
    </r>
  </si>
  <si>
    <t>Alternative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</si>
</sst>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£&quot;#,##0;[Red]\-&quot;£&quot;#,##0"/>
    <numFmt numFmtId="8" formatCode="&quot;£&quot;#,##0.00;[Red]\-&quot;£&quot;#,##0.00"/>
    <numFmt numFmtId="43" formatCode="_-* #,##0.00_-;\-* #,##0.00_-;_-* &quot;-&quot;??_-;_-@_-"/>
    <numFmt numFmtId="164" formatCode="&quot;£&quot;#,##0.00"/>
    <numFmt numFmtId="165" formatCode="_-* #,##0_-;\-* #,##0_-;_-* &quot;-&quot;??_-;_-@_-"/>
    <numFmt numFmtId="166" formatCode="#,##0;\(#,##0\)"/>
    <numFmt numFmtId="167" formatCode="&quot;£&quot;#,##0;\(&quot;£&quot;#,##0\)"/>
    <numFmt numFmtId="168" formatCode="_-* #,##0.000_-;\-* #,##0.0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1"/>
      <color rgb="FFFF0000"/>
      <name val="Trebuchet MS"/>
      <family val="2"/>
    </font>
    <font>
      <b/>
      <sz val="11"/>
      <color theme="1"/>
      <name val="Trebuchet MS"/>
      <family val="2"/>
    </font>
    <font>
      <sz val="9"/>
      <color theme="1"/>
      <name val="Segoe UI"/>
      <family val="2"/>
    </font>
    <font>
      <u/>
      <sz val="11"/>
      <color theme="1"/>
      <name val="Trebuchet MS"/>
      <family val="2"/>
    </font>
    <font>
      <sz val="8"/>
      <name val="Calibri"/>
      <family val="2"/>
      <scheme val="minor"/>
    </font>
    <font>
      <b/>
      <sz val="11"/>
      <color rgb="FFFF0000"/>
      <name val="Trebuchet MS"/>
      <family val="2"/>
    </font>
    <font>
      <sz val="11"/>
      <name val="Trebuchet MS"/>
      <family val="2"/>
    </font>
    <font>
      <b/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rgb="FF000000"/>
      <name val="Trebuchet MS"/>
      <family val="2"/>
    </font>
    <font>
      <u val="singleAccounting"/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1"/>
      <color rgb="FFFF0000"/>
      <name val="Calibri"/>
      <family val="2"/>
      <scheme val="minor"/>
    </font>
    <font>
      <b/>
      <sz val="11"/>
      <name val="Trebuchet MS"/>
      <family val="2"/>
    </font>
    <font>
      <sz val="11"/>
      <color rgb="FF000000"/>
      <name val="Trebuchet MS"/>
    </font>
    <font>
      <b/>
      <sz val="11"/>
      <color rgb="FF000000"/>
      <name val="Trebuchet MS"/>
    </font>
    <font>
      <b/>
      <sz val="11"/>
      <color rgb="FFFF0000"/>
      <name val="Trebuchet MS"/>
    </font>
    <font>
      <sz val="11"/>
      <color rgb="FFFF0000"/>
      <name val="Trebuchet MS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15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10" xfId="0" applyFont="1" applyBorder="1" applyAlignment="1">
      <alignment wrapText="1"/>
    </xf>
    <xf numFmtId="0" fontId="3" fillId="0" borderId="1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8" xfId="0" applyFont="1" applyBorder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13" xfId="0" applyBorder="1"/>
    <xf numFmtId="0" fontId="0" fillId="0" borderId="14" xfId="0" applyBorder="1"/>
    <xf numFmtId="0" fontId="3" fillId="0" borderId="6" xfId="0" applyFont="1" applyBorder="1"/>
    <xf numFmtId="49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3" fontId="1" fillId="0" borderId="0" xfId="0" applyNumberFormat="1" applyFont="1"/>
    <xf numFmtId="0" fontId="3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1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righ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3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9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/>
    <xf numFmtId="0" fontId="1" fillId="0" borderId="9" xfId="0" applyFont="1" applyBorder="1" applyAlignment="1">
      <alignment vertical="top" wrapText="1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3" fillId="0" borderId="12" xfId="0" applyFont="1" applyBorder="1"/>
    <xf numFmtId="6" fontId="1" fillId="0" borderId="1" xfId="0" applyNumberFormat="1" applyFont="1" applyBorder="1"/>
    <xf numFmtId="0" fontId="1" fillId="0" borderId="12" xfId="0" applyFont="1" applyBorder="1"/>
    <xf numFmtId="6" fontId="8" fillId="0" borderId="1" xfId="0" applyNumberFormat="1" applyFont="1" applyBorder="1"/>
    <xf numFmtId="8" fontId="1" fillId="0" borderId="1" xfId="0" applyNumberFormat="1" applyFont="1" applyBorder="1"/>
    <xf numFmtId="0" fontId="1" fillId="0" borderId="0" xfId="0" applyFont="1" applyAlignment="1">
      <alignment wrapText="1"/>
    </xf>
    <xf numFmtId="0" fontId="3" fillId="0" borderId="13" xfId="0" applyFont="1" applyBorder="1" applyAlignment="1">
      <alignment horizontal="center"/>
    </xf>
    <xf numFmtId="9" fontId="1" fillId="0" borderId="1" xfId="0" applyNumberFormat="1" applyFont="1" applyBorder="1"/>
    <xf numFmtId="165" fontId="1" fillId="0" borderId="1" xfId="1" applyNumberFormat="1" applyFont="1" applyBorder="1"/>
    <xf numFmtId="165" fontId="1" fillId="0" borderId="7" xfId="1" applyNumberFormat="1" applyFont="1" applyBorder="1"/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/>
    <xf numFmtId="165" fontId="1" fillId="0" borderId="12" xfId="0" applyNumberFormat="1" applyFont="1" applyBorder="1"/>
    <xf numFmtId="165" fontId="14" fillId="0" borderId="1" xfId="1" applyNumberFormat="1" applyFont="1" applyBorder="1"/>
    <xf numFmtId="1" fontId="1" fillId="0" borderId="1" xfId="0" applyNumberFormat="1" applyFont="1" applyBorder="1"/>
    <xf numFmtId="3" fontId="3" fillId="0" borderId="1" xfId="0" applyNumberFormat="1" applyFont="1" applyBorder="1"/>
    <xf numFmtId="6" fontId="1" fillId="0" borderId="0" xfId="0" applyNumberFormat="1" applyFont="1"/>
    <xf numFmtId="0" fontId="5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 wrapText="1"/>
    </xf>
    <xf numFmtId="0" fontId="0" fillId="0" borderId="5" xfId="0" applyBorder="1"/>
    <xf numFmtId="0" fontId="3" fillId="0" borderId="9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3" fillId="0" borderId="9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6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10" fontId="1" fillId="0" borderId="6" xfId="0" applyNumberFormat="1" applyFont="1" applyBorder="1" applyAlignment="1">
      <alignment horizontal="justify" vertical="center" wrapText="1"/>
    </xf>
    <xf numFmtId="0" fontId="1" fillId="0" borderId="15" xfId="0" applyFont="1" applyBorder="1"/>
    <xf numFmtId="0" fontId="3" fillId="0" borderId="9" xfId="0" applyFont="1" applyBorder="1"/>
    <xf numFmtId="3" fontId="1" fillId="0" borderId="12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166" fontId="1" fillId="0" borderId="1" xfId="1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3" fontId="1" fillId="0" borderId="12" xfId="0" applyNumberFormat="1" applyFont="1" applyBorder="1"/>
    <xf numFmtId="0" fontId="1" fillId="0" borderId="1" xfId="0" applyFont="1" applyBorder="1" applyAlignment="1">
      <alignment horizontal="right"/>
    </xf>
    <xf numFmtId="167" fontId="8" fillId="0" borderId="1" xfId="0" applyNumberFormat="1" applyFont="1" applyBorder="1"/>
    <xf numFmtId="49" fontId="7" fillId="0" borderId="12" xfId="0" applyNumberFormat="1" applyFont="1" applyBorder="1" applyAlignment="1">
      <alignment horizontal="left"/>
    </xf>
    <xf numFmtId="165" fontId="1" fillId="0" borderId="1" xfId="1" applyNumberFormat="1" applyFont="1" applyBorder="1" applyAlignment="1">
      <alignment horizontal="center"/>
    </xf>
    <xf numFmtId="165" fontId="1" fillId="0" borderId="1" xfId="1" applyNumberFormat="1" applyFont="1" applyBorder="1" applyAlignment="1">
      <alignment horizontal="right"/>
    </xf>
    <xf numFmtId="0" fontId="1" fillId="0" borderId="1" xfId="1" applyNumberFormat="1" applyFont="1" applyBorder="1" applyAlignment="1">
      <alignment horizontal="right"/>
    </xf>
    <xf numFmtId="49" fontId="3" fillId="0" borderId="12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7" fillId="0" borderId="12" xfId="0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3" fillId="0" borderId="12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2" xfId="0" applyFont="1" applyBorder="1"/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3" fillId="0" borderId="15" xfId="0" applyFont="1" applyBorder="1"/>
    <xf numFmtId="0" fontId="7" fillId="0" borderId="8" xfId="0" applyFont="1" applyBorder="1"/>
    <xf numFmtId="49" fontId="7" fillId="0" borderId="13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15" xfId="0" applyNumberFormat="1" applyFont="1" applyBorder="1" applyAlignment="1">
      <alignment horizontal="right" vertical="center" wrapText="1"/>
    </xf>
    <xf numFmtId="0" fontId="7" fillId="0" borderId="13" xfId="0" applyFont="1" applyBorder="1" applyAlignment="1">
      <alignment horizontal="left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165" fontId="7" fillId="0" borderId="5" xfId="0" applyNumberFormat="1" applyFont="1" applyBorder="1"/>
    <xf numFmtId="0" fontId="3" fillId="0" borderId="11" xfId="0" applyFont="1" applyBorder="1"/>
    <xf numFmtId="0" fontId="7" fillId="0" borderId="7" xfId="0" applyFont="1" applyBorder="1"/>
    <xf numFmtId="165" fontId="1" fillId="0" borderId="14" xfId="0" applyNumberFormat="1" applyFont="1" applyBorder="1"/>
    <xf numFmtId="0" fontId="1" fillId="0" borderId="14" xfId="0" applyFont="1" applyBorder="1" applyAlignment="1">
      <alignment horizontal="center"/>
    </xf>
    <xf numFmtId="9" fontId="1" fillId="0" borderId="14" xfId="0" applyNumberFormat="1" applyFont="1" applyBorder="1"/>
    <xf numFmtId="49" fontId="7" fillId="0" borderId="3" xfId="0" applyNumberFormat="1" applyFont="1" applyBorder="1" applyAlignment="1">
      <alignment horizontal="left"/>
    </xf>
    <xf numFmtId="0" fontId="7" fillId="0" borderId="11" xfId="0" applyFont="1" applyBorder="1"/>
    <xf numFmtId="0" fontId="3" fillId="0" borderId="9" xfId="0" applyFont="1" applyBorder="1" applyAlignment="1">
      <alignment horizontal="left" vertical="center" wrapText="1"/>
    </xf>
    <xf numFmtId="6" fontId="1" fillId="0" borderId="12" xfId="0" applyNumberFormat="1" applyFont="1" applyBorder="1"/>
    <xf numFmtId="0" fontId="7" fillId="0" borderId="12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/>
    </xf>
    <xf numFmtId="49" fontId="7" fillId="0" borderId="11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 wrapText="1"/>
    </xf>
    <xf numFmtId="0" fontId="1" fillId="0" borderId="10" xfId="0" applyFont="1" applyBorder="1" applyAlignment="1">
      <alignment vertical="top" wrapText="1"/>
    </xf>
    <xf numFmtId="165" fontId="1" fillId="0" borderId="1" xfId="1" applyNumberFormat="1" applyFont="1" applyBorder="1" applyAlignment="1">
      <alignment vertical="center"/>
    </xf>
    <xf numFmtId="165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justify" vertical="center"/>
    </xf>
    <xf numFmtId="165" fontId="1" fillId="0" borderId="11" xfId="1" applyNumberFormat="1" applyFont="1" applyBorder="1" applyAlignment="1">
      <alignment horizontal="right" vertical="center"/>
    </xf>
    <xf numFmtId="165" fontId="1" fillId="0" borderId="11" xfId="1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168" fontId="1" fillId="0" borderId="11" xfId="1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0" fontId="2" fillId="0" borderId="5" xfId="0" applyFont="1" applyBorder="1"/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right" vertical="center" wrapText="1"/>
    </xf>
    <xf numFmtId="0" fontId="7" fillId="0" borderId="3" xfId="1" applyNumberFormat="1" applyFont="1" applyBorder="1" applyAlignment="1">
      <alignment horizontal="center" vertical="center"/>
    </xf>
    <xf numFmtId="0" fontId="7" fillId="0" borderId="10" xfId="1" applyNumberFormat="1" applyFont="1" applyBorder="1" applyAlignment="1">
      <alignment horizontal="center" vertical="center"/>
    </xf>
    <xf numFmtId="0" fontId="7" fillId="0" borderId="11" xfId="1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9" fontId="1" fillId="0" borderId="5" xfId="0" applyNumberFormat="1" applyFont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49" fontId="7" fillId="0" borderId="7" xfId="0" applyNumberFormat="1" applyFont="1" applyBorder="1" applyAlignment="1">
      <alignment vertical="center" wrapText="1"/>
    </xf>
    <xf numFmtId="49" fontId="16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3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7" fillId="0" borderId="15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4</xdr:row>
      <xdr:rowOff>57150</xdr:rowOff>
    </xdr:from>
    <xdr:to>
      <xdr:col>8</xdr:col>
      <xdr:colOff>171450</xdr:colOff>
      <xdr:row>6</xdr:row>
      <xdr:rowOff>85725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87D481F5-C1FA-4C22-A3CA-A98F0708EC71}"/>
            </a:ext>
          </a:extLst>
        </xdr:cNvPr>
        <xdr:cNvSpPr>
          <a:spLocks/>
        </xdr:cNvSpPr>
      </xdr:nvSpPr>
      <xdr:spPr>
        <a:xfrm>
          <a:off x="6010275" y="1104900"/>
          <a:ext cx="152400" cy="447675"/>
        </a:xfrm>
        <a:prstGeom prst="rightBrace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38100</xdr:colOff>
      <xdr:row>12</xdr:row>
      <xdr:rowOff>114300</xdr:rowOff>
    </xdr:from>
    <xdr:to>
      <xdr:col>8</xdr:col>
      <xdr:colOff>190500</xdr:colOff>
      <xdr:row>14</xdr:row>
      <xdr:rowOff>142875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A105ED4C-33C0-4BDD-9566-B652CF3A0F6D}"/>
            </a:ext>
          </a:extLst>
        </xdr:cNvPr>
        <xdr:cNvSpPr>
          <a:spLocks/>
        </xdr:cNvSpPr>
      </xdr:nvSpPr>
      <xdr:spPr>
        <a:xfrm>
          <a:off x="6029325" y="2905125"/>
          <a:ext cx="152400" cy="447675"/>
        </a:xfrm>
        <a:prstGeom prst="rightBrace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134197</xdr:colOff>
      <xdr:row>7</xdr:row>
      <xdr:rowOff>116416</xdr:rowOff>
    </xdr:from>
    <xdr:to>
      <xdr:col>4</xdr:col>
      <xdr:colOff>370417</xdr:colOff>
      <xdr:row>9</xdr:row>
      <xdr:rowOff>126999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75241320-1D93-4B56-9C84-4C58FA9A3B9D}"/>
            </a:ext>
          </a:extLst>
        </xdr:cNvPr>
        <xdr:cNvSpPr>
          <a:spLocks/>
        </xdr:cNvSpPr>
      </xdr:nvSpPr>
      <xdr:spPr>
        <a:xfrm>
          <a:off x="4642697" y="1598083"/>
          <a:ext cx="236220" cy="963083"/>
        </a:xfrm>
        <a:prstGeom prst="rightBrace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52917</xdr:colOff>
      <xdr:row>7</xdr:row>
      <xdr:rowOff>116416</xdr:rowOff>
    </xdr:from>
    <xdr:to>
      <xdr:col>7</xdr:col>
      <xdr:colOff>289137</xdr:colOff>
      <xdr:row>9</xdr:row>
      <xdr:rowOff>126999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F1D97F7A-D451-4880-8848-A5042FC778E3}"/>
            </a:ext>
          </a:extLst>
        </xdr:cNvPr>
        <xdr:cNvSpPr>
          <a:spLocks/>
        </xdr:cNvSpPr>
      </xdr:nvSpPr>
      <xdr:spPr>
        <a:xfrm>
          <a:off x="7196667" y="1598083"/>
          <a:ext cx="236220" cy="963083"/>
        </a:xfrm>
        <a:prstGeom prst="rightBrace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52917</xdr:colOff>
      <xdr:row>18</xdr:row>
      <xdr:rowOff>116416</xdr:rowOff>
    </xdr:from>
    <xdr:to>
      <xdr:col>7</xdr:col>
      <xdr:colOff>289137</xdr:colOff>
      <xdr:row>20</xdr:row>
      <xdr:rowOff>126999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A6885EDC-E62F-4CC3-A6CA-283271B7C618}"/>
            </a:ext>
          </a:extLst>
        </xdr:cNvPr>
        <xdr:cNvSpPr>
          <a:spLocks/>
        </xdr:cNvSpPr>
      </xdr:nvSpPr>
      <xdr:spPr>
        <a:xfrm>
          <a:off x="7196667" y="1598083"/>
          <a:ext cx="236220" cy="963083"/>
        </a:xfrm>
        <a:prstGeom prst="rightBrace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134197</xdr:colOff>
      <xdr:row>18</xdr:row>
      <xdr:rowOff>116416</xdr:rowOff>
    </xdr:from>
    <xdr:to>
      <xdr:col>4</xdr:col>
      <xdr:colOff>370417</xdr:colOff>
      <xdr:row>20</xdr:row>
      <xdr:rowOff>126999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F9231ED6-746B-4956-A063-19422BE0C16A}"/>
            </a:ext>
          </a:extLst>
        </xdr:cNvPr>
        <xdr:cNvSpPr>
          <a:spLocks/>
        </xdr:cNvSpPr>
      </xdr:nvSpPr>
      <xdr:spPr>
        <a:xfrm>
          <a:off x="4642697" y="1598083"/>
          <a:ext cx="236220" cy="963083"/>
        </a:xfrm>
        <a:prstGeom prst="rightBrace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4</xdr:row>
      <xdr:rowOff>161925</xdr:rowOff>
    </xdr:from>
    <xdr:to>
      <xdr:col>6</xdr:col>
      <xdr:colOff>133350</xdr:colOff>
      <xdr:row>6</xdr:row>
      <xdr:rowOff>85725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F8258B7D-4BBA-48B7-86EC-F1C206F762C7}"/>
            </a:ext>
          </a:extLst>
        </xdr:cNvPr>
        <xdr:cNvSpPr>
          <a:spLocks/>
        </xdr:cNvSpPr>
      </xdr:nvSpPr>
      <xdr:spPr>
        <a:xfrm>
          <a:off x="3990975" y="1628775"/>
          <a:ext cx="114300" cy="342900"/>
        </a:xfrm>
        <a:prstGeom prst="rightBrace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6</xdr:col>
      <xdr:colOff>47625</xdr:colOff>
      <xdr:row>11</xdr:row>
      <xdr:rowOff>142875</xdr:rowOff>
    </xdr:from>
    <xdr:to>
      <xdr:col>6</xdr:col>
      <xdr:colOff>142875</xdr:colOff>
      <xdr:row>14</xdr:row>
      <xdr:rowOff>104775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4BDCC8DA-943A-464E-A6EA-9B81AF9360AC}"/>
            </a:ext>
          </a:extLst>
        </xdr:cNvPr>
        <xdr:cNvSpPr>
          <a:spLocks/>
        </xdr:cNvSpPr>
      </xdr:nvSpPr>
      <xdr:spPr>
        <a:xfrm>
          <a:off x="4019550" y="3562350"/>
          <a:ext cx="95250" cy="590550"/>
        </a:xfrm>
        <a:prstGeom prst="rightBrace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0D61-439E-46D4-BF0D-5ACAC46322DD}">
  <sheetPr>
    <pageSetUpPr fitToPage="1"/>
  </sheetPr>
  <dimension ref="A1:S58"/>
  <sheetViews>
    <sheetView tabSelected="1" zoomScale="80" zoomScaleNormal="80" workbookViewId="0">
      <selection activeCell="F18" sqref="F18:L18"/>
    </sheetView>
  </sheetViews>
  <sheetFormatPr defaultColWidth="8.7109375" defaultRowHeight="16.5" x14ac:dyDescent="0.3"/>
  <cols>
    <col min="1" max="1" width="11" style="1" customWidth="1"/>
    <col min="2" max="2" width="34.7109375" style="1" customWidth="1"/>
    <col min="3" max="3" width="16.28515625" style="1" customWidth="1"/>
    <col min="4" max="4" width="16.5703125" style="4" customWidth="1"/>
    <col min="5" max="5" width="16.140625" style="147" customWidth="1"/>
    <col min="6" max="6" width="13" style="1" customWidth="1"/>
    <col min="7" max="7" width="11.42578125" style="1" customWidth="1"/>
    <col min="8" max="8" width="8.7109375" style="1"/>
    <col min="9" max="9" width="10.140625" style="1" customWidth="1"/>
    <col min="10" max="16384" width="8.7109375" style="1"/>
  </cols>
  <sheetData>
    <row r="1" spans="1:19" s="7" customFormat="1" x14ac:dyDescent="0.3">
      <c r="A1" s="20" t="s">
        <v>0</v>
      </c>
      <c r="B1" s="248" t="s">
        <v>1</v>
      </c>
      <c r="C1" s="249"/>
      <c r="D1" s="250"/>
      <c r="E1" s="153" t="s">
        <v>2</v>
      </c>
      <c r="F1" s="249" t="s">
        <v>3</v>
      </c>
      <c r="G1" s="249"/>
      <c r="H1" s="249"/>
      <c r="I1" s="249"/>
      <c r="J1" s="249"/>
      <c r="K1" s="249"/>
      <c r="L1" s="249"/>
      <c r="M1" s="1"/>
      <c r="N1" s="1"/>
      <c r="O1" s="1"/>
      <c r="P1" s="1"/>
      <c r="Q1" s="1"/>
      <c r="R1" s="1"/>
      <c r="S1" s="1"/>
    </row>
    <row r="2" spans="1:19" x14ac:dyDescent="0.3">
      <c r="A2" s="171">
        <v>1</v>
      </c>
      <c r="B2" s="8" t="s">
        <v>4</v>
      </c>
      <c r="E2" s="151"/>
      <c r="L2" s="11"/>
    </row>
    <row r="3" spans="1:19" x14ac:dyDescent="0.3">
      <c r="A3" s="13" t="s">
        <v>5</v>
      </c>
      <c r="B3" s="21" t="s">
        <v>6</v>
      </c>
      <c r="E3" s="140">
        <v>18</v>
      </c>
      <c r="L3" s="11"/>
    </row>
    <row r="4" spans="1:19" x14ac:dyDescent="0.3">
      <c r="A4" s="13"/>
      <c r="B4" s="2"/>
      <c r="C4" s="52" t="s">
        <v>7</v>
      </c>
      <c r="D4" s="22" t="s">
        <v>8</v>
      </c>
      <c r="E4" s="140"/>
      <c r="L4" s="11"/>
    </row>
    <row r="5" spans="1:19" x14ac:dyDescent="0.3">
      <c r="A5" s="13"/>
      <c r="B5" s="23" t="s">
        <v>9</v>
      </c>
      <c r="C5" s="24">
        <v>61500</v>
      </c>
      <c r="D5" s="33" t="s">
        <v>10</v>
      </c>
      <c r="E5" s="141"/>
      <c r="L5" s="11"/>
    </row>
    <row r="6" spans="1:19" ht="49.5" x14ac:dyDescent="0.3">
      <c r="A6" s="13"/>
      <c r="B6" s="23" t="s">
        <v>11</v>
      </c>
      <c r="C6" s="26">
        <v>38382</v>
      </c>
      <c r="D6" s="25" t="s">
        <v>12</v>
      </c>
      <c r="E6" s="141"/>
      <c r="L6" s="11"/>
    </row>
    <row r="7" spans="1:19" x14ac:dyDescent="0.3">
      <c r="A7" s="13"/>
      <c r="B7" s="25" t="s">
        <v>13</v>
      </c>
      <c r="C7" s="24">
        <f>C5-C6</f>
        <v>23118</v>
      </c>
      <c r="D7" s="23"/>
      <c r="E7" s="141"/>
      <c r="L7" s="11"/>
    </row>
    <row r="8" spans="1:19" ht="42.75" customHeight="1" x14ac:dyDescent="0.3">
      <c r="A8" s="13"/>
      <c r="B8" s="23" t="s">
        <v>14</v>
      </c>
      <c r="C8" s="24">
        <v>8883</v>
      </c>
      <c r="D8" s="25" t="s">
        <v>15</v>
      </c>
      <c r="E8" s="141"/>
      <c r="L8" s="11"/>
    </row>
    <row r="9" spans="1:19" ht="49.5" x14ac:dyDescent="0.3">
      <c r="A9" s="13"/>
      <c r="B9" s="23" t="s">
        <v>16</v>
      </c>
      <c r="C9" s="24">
        <v>3102</v>
      </c>
      <c r="D9" s="25" t="s">
        <v>17</v>
      </c>
      <c r="E9" s="141"/>
      <c r="L9" s="11"/>
    </row>
    <row r="10" spans="1:19" x14ac:dyDescent="0.3">
      <c r="A10" s="13"/>
      <c r="B10" s="25" t="s">
        <v>18</v>
      </c>
      <c r="C10" s="24">
        <f>C7-C8-C9</f>
        <v>11133</v>
      </c>
      <c r="D10" s="25"/>
      <c r="E10" s="141"/>
      <c r="L10" s="11"/>
    </row>
    <row r="11" spans="1:19" x14ac:dyDescent="0.3">
      <c r="A11" s="13"/>
      <c r="B11" s="23" t="s">
        <v>19</v>
      </c>
      <c r="C11" s="28">
        <v>120</v>
      </c>
      <c r="D11" s="33" t="s">
        <v>10</v>
      </c>
      <c r="E11" s="141"/>
      <c r="L11" s="11"/>
    </row>
    <row r="12" spans="1:19" x14ac:dyDescent="0.3">
      <c r="A12" s="13"/>
      <c r="B12" s="25" t="s">
        <v>20</v>
      </c>
      <c r="C12" s="24">
        <f>C10-C11</f>
        <v>11013</v>
      </c>
      <c r="D12" s="25"/>
      <c r="E12" s="141"/>
      <c r="L12" s="11"/>
    </row>
    <row r="13" spans="1:19" x14ac:dyDescent="0.3">
      <c r="A13" s="13"/>
      <c r="B13" s="23" t="s">
        <v>21</v>
      </c>
      <c r="C13" s="29">
        <v>90</v>
      </c>
      <c r="D13" s="33" t="s">
        <v>22</v>
      </c>
      <c r="E13" s="141"/>
      <c r="L13" s="11"/>
    </row>
    <row r="14" spans="1:19" x14ac:dyDescent="0.3">
      <c r="A14" s="13"/>
      <c r="B14" s="25" t="s">
        <v>23</v>
      </c>
      <c r="C14" s="24">
        <f>C12-C13</f>
        <v>10923</v>
      </c>
      <c r="D14" s="25"/>
      <c r="E14" s="141"/>
      <c r="L14" s="11"/>
    </row>
    <row r="15" spans="1:19" x14ac:dyDescent="0.3">
      <c r="A15" s="13"/>
      <c r="B15" s="23" t="s">
        <v>24</v>
      </c>
      <c r="C15" s="24">
        <v>1380</v>
      </c>
      <c r="D15" s="33" t="s">
        <v>10</v>
      </c>
      <c r="E15" s="141"/>
      <c r="L15" s="11"/>
    </row>
    <row r="16" spans="1:19" x14ac:dyDescent="0.3">
      <c r="A16" s="13"/>
      <c r="B16" s="25" t="s">
        <v>25</v>
      </c>
      <c r="C16" s="24">
        <f>C14-C15</f>
        <v>9543</v>
      </c>
      <c r="D16" s="25"/>
      <c r="E16" s="141"/>
      <c r="L16" s="11"/>
    </row>
    <row r="17" spans="1:12" x14ac:dyDescent="0.3">
      <c r="A17" s="13"/>
      <c r="B17" s="2"/>
      <c r="C17" s="3"/>
      <c r="D17" s="5"/>
      <c r="E17" s="141"/>
      <c r="L17" s="11"/>
    </row>
    <row r="18" spans="1:12" ht="69.75" customHeight="1" x14ac:dyDescent="0.3">
      <c r="A18" s="14"/>
      <c r="B18" s="31" t="s">
        <v>26</v>
      </c>
      <c r="C18" s="3"/>
      <c r="D18" s="5"/>
      <c r="E18" s="142"/>
      <c r="F18" s="259" t="s">
        <v>27</v>
      </c>
      <c r="G18" s="260"/>
      <c r="H18" s="260"/>
      <c r="I18" s="260"/>
      <c r="J18" s="260"/>
      <c r="K18" s="260"/>
      <c r="L18" s="261"/>
    </row>
    <row r="20" spans="1:12" x14ac:dyDescent="0.3">
      <c r="B20" s="21"/>
      <c r="C20"/>
      <c r="D20"/>
      <c r="E20" s="164"/>
      <c r="F20"/>
      <c r="G20"/>
      <c r="H20"/>
    </row>
    <row r="21" spans="1:12" x14ac:dyDescent="0.3">
      <c r="A21" s="7"/>
      <c r="B21" s="34" t="s">
        <v>28</v>
      </c>
      <c r="C21" s="35"/>
      <c r="D21" s="35"/>
      <c r="E21" s="165"/>
      <c r="F21" s="43"/>
      <c r="G21" s="44"/>
      <c r="H21" s="44"/>
      <c r="I21" s="18"/>
      <c r="J21" s="18"/>
      <c r="K21" s="18"/>
      <c r="L21" s="9"/>
    </row>
    <row r="22" spans="1:12" x14ac:dyDescent="0.3">
      <c r="A22" s="13"/>
      <c r="B22" s="23"/>
      <c r="C22" s="36" t="s">
        <v>29</v>
      </c>
      <c r="D22" s="36" t="s">
        <v>30</v>
      </c>
      <c r="E22" s="40" t="s">
        <v>31</v>
      </c>
      <c r="F22" s="10"/>
      <c r="L22" s="11"/>
    </row>
    <row r="23" spans="1:12" x14ac:dyDescent="0.3">
      <c r="A23" s="13"/>
      <c r="B23" s="23"/>
      <c r="C23" s="52" t="s">
        <v>7</v>
      </c>
      <c r="D23" s="52" t="s">
        <v>7</v>
      </c>
      <c r="E23" s="52" t="s">
        <v>7</v>
      </c>
      <c r="F23" s="10"/>
      <c r="L23" s="11"/>
    </row>
    <row r="24" spans="1:12" x14ac:dyDescent="0.3">
      <c r="A24" s="13"/>
      <c r="B24" s="23" t="s">
        <v>32</v>
      </c>
      <c r="C24" s="24">
        <v>38595</v>
      </c>
      <c r="D24" s="28"/>
      <c r="E24" s="166"/>
      <c r="F24" s="254" t="s">
        <v>33</v>
      </c>
      <c r="G24" s="255"/>
      <c r="H24" s="255"/>
      <c r="I24" s="255"/>
      <c r="J24" s="255"/>
      <c r="K24" s="255"/>
      <c r="L24" s="256"/>
    </row>
    <row r="25" spans="1:12" x14ac:dyDescent="0.3">
      <c r="A25" s="13"/>
      <c r="B25" s="23" t="s">
        <v>34</v>
      </c>
      <c r="C25" s="24">
        <v>7500</v>
      </c>
      <c r="D25" s="28"/>
      <c r="E25" s="166"/>
      <c r="F25" s="254"/>
      <c r="G25" s="255"/>
      <c r="H25" s="255"/>
      <c r="I25" s="255"/>
      <c r="J25" s="255"/>
      <c r="K25" s="255"/>
      <c r="L25" s="256"/>
    </row>
    <row r="26" spans="1:12" x14ac:dyDescent="0.3">
      <c r="A26" s="13"/>
      <c r="B26" s="23" t="s">
        <v>35</v>
      </c>
      <c r="C26" s="28"/>
      <c r="D26" s="24">
        <v>6675</v>
      </c>
      <c r="E26" s="244"/>
      <c r="F26" s="262" t="s">
        <v>36</v>
      </c>
      <c r="G26" s="263"/>
      <c r="H26" s="263"/>
      <c r="I26" s="263"/>
      <c r="J26" s="263"/>
      <c r="K26" s="263"/>
      <c r="L26" s="264"/>
    </row>
    <row r="27" spans="1:12" ht="16.5" customHeight="1" x14ac:dyDescent="0.3">
      <c r="A27" s="13"/>
      <c r="B27" s="23" t="s">
        <v>37</v>
      </c>
      <c r="C27" s="28"/>
      <c r="D27" s="28">
        <v>825</v>
      </c>
      <c r="E27" s="244"/>
      <c r="F27" s="262"/>
      <c r="G27" s="263"/>
      <c r="H27" s="263"/>
      <c r="I27" s="263"/>
      <c r="J27" s="263"/>
      <c r="K27" s="263"/>
      <c r="L27" s="264"/>
    </row>
    <row r="28" spans="1:12" x14ac:dyDescent="0.3">
      <c r="A28" s="13"/>
      <c r="B28" s="23" t="s">
        <v>38</v>
      </c>
      <c r="C28" s="28"/>
      <c r="D28" s="28"/>
      <c r="E28" s="177">
        <v>1500</v>
      </c>
      <c r="F28" s="254" t="s">
        <v>39</v>
      </c>
      <c r="G28" s="255"/>
      <c r="H28" s="255"/>
      <c r="I28" s="255"/>
      <c r="J28" s="255"/>
      <c r="K28" s="255"/>
      <c r="L28" s="256"/>
    </row>
    <row r="29" spans="1:12" x14ac:dyDescent="0.3">
      <c r="A29" s="13"/>
      <c r="B29" s="23" t="s">
        <v>40</v>
      </c>
      <c r="C29" s="28"/>
      <c r="D29" s="28"/>
      <c r="E29" s="177">
        <v>1140</v>
      </c>
      <c r="F29" s="254"/>
      <c r="G29" s="255"/>
      <c r="H29" s="255"/>
      <c r="I29" s="255"/>
      <c r="J29" s="255"/>
      <c r="K29" s="255"/>
      <c r="L29" s="256"/>
    </row>
    <row r="30" spans="1:12" x14ac:dyDescent="0.3">
      <c r="A30" s="13"/>
      <c r="B30" s="23"/>
      <c r="C30" s="28"/>
      <c r="D30" s="28"/>
      <c r="E30" s="41"/>
      <c r="F30" s="10"/>
      <c r="L30" s="11"/>
    </row>
    <row r="31" spans="1:12" x14ac:dyDescent="0.3">
      <c r="A31" s="13"/>
      <c r="B31" s="23" t="s">
        <v>41</v>
      </c>
      <c r="C31" s="28">
        <v>360</v>
      </c>
      <c r="D31" s="28">
        <v>180</v>
      </c>
      <c r="E31" s="41">
        <v>360</v>
      </c>
      <c r="F31" s="254" t="s">
        <v>42</v>
      </c>
      <c r="G31" s="255"/>
      <c r="H31" s="255"/>
      <c r="I31" s="255"/>
      <c r="J31" s="255"/>
      <c r="K31" s="255"/>
      <c r="L31" s="256"/>
    </row>
    <row r="32" spans="1:12" x14ac:dyDescent="0.3">
      <c r="A32" s="13"/>
      <c r="B32" s="23" t="s">
        <v>43</v>
      </c>
      <c r="C32" s="23"/>
      <c r="D32" s="23"/>
      <c r="E32" s="166"/>
      <c r="F32" s="10"/>
      <c r="L32" s="11"/>
    </row>
    <row r="33" spans="1:12" ht="16.5" customHeight="1" x14ac:dyDescent="0.3">
      <c r="A33" s="13"/>
      <c r="B33" s="23" t="s">
        <v>44</v>
      </c>
      <c r="C33" s="23"/>
      <c r="D33" s="23"/>
      <c r="E33" s="166"/>
      <c r="F33" s="254" t="s">
        <v>45</v>
      </c>
      <c r="G33" s="255"/>
      <c r="H33" s="255"/>
      <c r="I33" s="255"/>
      <c r="J33" s="255"/>
      <c r="K33" s="255"/>
      <c r="L33" s="256"/>
    </row>
    <row r="34" spans="1:12" x14ac:dyDescent="0.3">
      <c r="A34" s="13"/>
      <c r="B34" s="23"/>
      <c r="C34" s="23"/>
      <c r="D34" s="23"/>
      <c r="E34" s="166"/>
      <c r="F34" s="10"/>
      <c r="L34" s="11"/>
    </row>
    <row r="35" spans="1:12" ht="16.5" customHeight="1" x14ac:dyDescent="0.3">
      <c r="A35" s="13"/>
      <c r="B35" s="23" t="s">
        <v>46</v>
      </c>
      <c r="C35" s="23"/>
      <c r="D35" s="23"/>
      <c r="E35" s="166"/>
      <c r="F35" s="10"/>
      <c r="L35" s="11"/>
    </row>
    <row r="36" spans="1:12" ht="16.5" customHeight="1" x14ac:dyDescent="0.3">
      <c r="A36" s="13"/>
      <c r="B36" s="23" t="s">
        <v>47</v>
      </c>
      <c r="C36" s="23"/>
      <c r="D36" s="23"/>
      <c r="E36" s="166"/>
      <c r="F36" s="10"/>
      <c r="L36" s="11"/>
    </row>
    <row r="37" spans="1:12" x14ac:dyDescent="0.3">
      <c r="A37" s="13"/>
      <c r="B37" s="23"/>
      <c r="C37" s="23"/>
      <c r="D37" s="23"/>
      <c r="E37" s="166"/>
      <c r="F37" s="10"/>
      <c r="L37" s="11"/>
    </row>
    <row r="38" spans="1:12" ht="16.5" customHeight="1" x14ac:dyDescent="0.3">
      <c r="A38" s="13"/>
      <c r="B38" s="23" t="s">
        <v>48</v>
      </c>
      <c r="C38" s="23"/>
      <c r="D38" s="23"/>
      <c r="E38" s="166"/>
      <c r="F38" s="10"/>
      <c r="L38" s="11"/>
    </row>
    <row r="39" spans="1:12" ht="16.5" customHeight="1" x14ac:dyDescent="0.3">
      <c r="A39" s="13"/>
      <c r="B39" s="23" t="s">
        <v>49</v>
      </c>
      <c r="C39" s="23"/>
      <c r="D39" s="23"/>
      <c r="E39" s="166"/>
      <c r="F39" s="254" t="s">
        <v>50</v>
      </c>
      <c r="G39" s="255"/>
      <c r="H39" s="255"/>
      <c r="I39" s="255"/>
      <c r="J39" s="255"/>
      <c r="K39" s="255"/>
      <c r="L39" s="256"/>
    </row>
    <row r="40" spans="1:12" x14ac:dyDescent="0.3">
      <c r="A40" s="13"/>
      <c r="B40" s="28"/>
      <c r="C40" s="28"/>
      <c r="D40" s="28"/>
      <c r="E40" s="166"/>
      <c r="F40" s="10"/>
      <c r="L40" s="11"/>
    </row>
    <row r="41" spans="1:12" x14ac:dyDescent="0.3">
      <c r="A41" s="13"/>
      <c r="B41" s="252" t="s">
        <v>51</v>
      </c>
      <c r="C41" s="253" t="s">
        <v>52</v>
      </c>
      <c r="D41" s="253" t="s">
        <v>53</v>
      </c>
      <c r="E41" s="251" t="s">
        <v>54</v>
      </c>
      <c r="F41" s="254" t="s">
        <v>55</v>
      </c>
      <c r="G41" s="255"/>
      <c r="H41" s="255"/>
      <c r="I41" s="255"/>
      <c r="J41" s="255"/>
      <c r="K41" s="255"/>
      <c r="L41" s="11"/>
    </row>
    <row r="42" spans="1:12" x14ac:dyDescent="0.3">
      <c r="A42" s="13"/>
      <c r="B42" s="252"/>
      <c r="C42" s="253"/>
      <c r="D42" s="253"/>
      <c r="E42" s="251"/>
      <c r="F42" s="254"/>
      <c r="G42" s="255"/>
      <c r="H42" s="255"/>
      <c r="I42" s="255"/>
      <c r="J42" s="255"/>
      <c r="K42" s="255"/>
      <c r="L42" s="11"/>
    </row>
    <row r="43" spans="1:12" ht="49.5" x14ac:dyDescent="0.3">
      <c r="A43" s="13"/>
      <c r="B43" s="23" t="s">
        <v>56</v>
      </c>
      <c r="C43" s="28"/>
      <c r="D43" s="28" t="s">
        <v>57</v>
      </c>
      <c r="E43" s="166"/>
      <c r="F43" s="257" t="s">
        <v>58</v>
      </c>
      <c r="G43" s="258"/>
      <c r="H43" s="258"/>
      <c r="I43" s="258"/>
      <c r="J43" s="258"/>
      <c r="K43" s="258"/>
      <c r="L43" s="11"/>
    </row>
    <row r="44" spans="1:12" ht="47.25" customHeight="1" x14ac:dyDescent="0.3">
      <c r="A44" s="13"/>
      <c r="B44" s="38" t="s">
        <v>59</v>
      </c>
      <c r="C44" s="179">
        <v>-8430</v>
      </c>
      <c r="D44" s="28"/>
      <c r="E44" s="166"/>
      <c r="F44" s="254" t="s">
        <v>60</v>
      </c>
      <c r="G44" s="255"/>
      <c r="H44" s="255"/>
      <c r="I44" s="255"/>
      <c r="J44" s="255"/>
      <c r="K44" s="255"/>
      <c r="L44" s="11"/>
    </row>
    <row r="45" spans="1:12" x14ac:dyDescent="0.3">
      <c r="A45" s="13"/>
      <c r="B45" s="23"/>
      <c r="C45" s="39">
        <v>38382</v>
      </c>
      <c r="D45" s="39">
        <v>8883</v>
      </c>
      <c r="E45" s="178">
        <v>3102</v>
      </c>
      <c r="F45" s="10"/>
      <c r="L45" s="11"/>
    </row>
    <row r="46" spans="1:12" x14ac:dyDescent="0.3">
      <c r="A46" s="13"/>
      <c r="B46" s="23"/>
      <c r="C46" s="39"/>
      <c r="D46" s="39"/>
      <c r="E46" s="167"/>
      <c r="F46" s="10"/>
      <c r="L46" s="11"/>
    </row>
    <row r="47" spans="1:12" x14ac:dyDescent="0.3">
      <c r="A47" s="13"/>
      <c r="B47" s="25" t="s">
        <v>61</v>
      </c>
      <c r="C47" s="35"/>
      <c r="D47" s="35"/>
      <c r="E47" s="165"/>
      <c r="F47" s="10"/>
      <c r="L47" s="11"/>
    </row>
    <row r="48" spans="1:12" x14ac:dyDescent="0.3">
      <c r="A48" s="13"/>
      <c r="B48" s="23" t="s">
        <v>62</v>
      </c>
      <c r="C48" s="35"/>
      <c r="D48" s="35"/>
      <c r="E48" s="165"/>
      <c r="F48" s="10"/>
      <c r="L48" s="11"/>
    </row>
    <row r="49" spans="1:12" x14ac:dyDescent="0.3">
      <c r="A49" s="13"/>
      <c r="B49" s="25"/>
      <c r="C49" s="35"/>
      <c r="D49" s="35"/>
      <c r="E49" s="165"/>
      <c r="F49" s="10"/>
      <c r="L49" s="11"/>
    </row>
    <row r="50" spans="1:12" x14ac:dyDescent="0.3">
      <c r="A50" s="13"/>
      <c r="B50" s="25" t="s">
        <v>63</v>
      </c>
      <c r="C50" s="35"/>
      <c r="D50" s="35"/>
      <c r="E50" s="165"/>
      <c r="F50" s="10"/>
      <c r="L50" s="11"/>
    </row>
    <row r="51" spans="1:12" ht="33" x14ac:dyDescent="0.3">
      <c r="A51" s="14"/>
      <c r="B51" s="23" t="s">
        <v>64</v>
      </c>
      <c r="C51" s="35"/>
      <c r="D51" s="35"/>
      <c r="E51" s="165"/>
      <c r="F51" s="12"/>
      <c r="G51" s="6"/>
      <c r="H51" s="6"/>
      <c r="I51" s="6"/>
      <c r="J51" s="6"/>
      <c r="K51" s="6"/>
      <c r="L51" s="19"/>
    </row>
    <row r="52" spans="1:12" x14ac:dyDescent="0.3">
      <c r="D52" s="1"/>
    </row>
    <row r="53" spans="1:12" x14ac:dyDescent="0.3">
      <c r="D53" s="1"/>
    </row>
    <row r="54" spans="1:12" x14ac:dyDescent="0.3">
      <c r="D54" s="1"/>
    </row>
    <row r="55" spans="1:12" x14ac:dyDescent="0.3">
      <c r="D55" s="1"/>
    </row>
    <row r="56" spans="1:12" x14ac:dyDescent="0.3">
      <c r="D56" s="1"/>
    </row>
    <row r="57" spans="1:12" x14ac:dyDescent="0.3">
      <c r="D57" s="1"/>
    </row>
    <row r="58" spans="1:12" x14ac:dyDescent="0.3">
      <c r="D58" s="1"/>
    </row>
  </sheetData>
  <mergeCells count="16">
    <mergeCell ref="F43:K43"/>
    <mergeCell ref="F44:K44"/>
    <mergeCell ref="F18:L18"/>
    <mergeCell ref="F24:L25"/>
    <mergeCell ref="F26:L27"/>
    <mergeCell ref="F28:L29"/>
    <mergeCell ref="F31:L31"/>
    <mergeCell ref="B1:D1"/>
    <mergeCell ref="F1:L1"/>
    <mergeCell ref="E41:E42"/>
    <mergeCell ref="B41:B42"/>
    <mergeCell ref="C41:C42"/>
    <mergeCell ref="D41:D42"/>
    <mergeCell ref="F33:L33"/>
    <mergeCell ref="F39:L39"/>
    <mergeCell ref="F41:K42"/>
  </mergeCells>
  <phoneticPr fontId="6" type="noConversion"/>
  <pageMargins left="0.7" right="0.7" top="0.75" bottom="0.75" header="0.3" footer="0.3"/>
  <pageSetup paperSize="9" scale="80" fitToHeight="0" orientation="landscape" r:id="rId1"/>
  <rowBreaks count="1" manualBreakCount="1">
    <brk id="20" max="16383" man="1"/>
  </rowBreaks>
  <ignoredErrors>
    <ignoredError sqref="C23:E23 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B88B5-03A1-4F76-A358-C6C8D9308DEF}">
  <sheetPr>
    <pageSetUpPr fitToPage="1"/>
  </sheetPr>
  <dimension ref="A1:L8"/>
  <sheetViews>
    <sheetView workbookViewId="0">
      <selection activeCell="B25" sqref="B25"/>
    </sheetView>
  </sheetViews>
  <sheetFormatPr defaultColWidth="8.7109375" defaultRowHeight="16.5" x14ac:dyDescent="0.3"/>
  <cols>
    <col min="1" max="1" width="9.85546875" style="1" customWidth="1"/>
    <col min="2" max="2" width="29" style="1" customWidth="1"/>
    <col min="3" max="3" width="9.42578125" style="1" customWidth="1"/>
    <col min="4" max="4" width="33.85546875" style="1" customWidth="1"/>
    <col min="5" max="5" width="12" style="147" customWidth="1"/>
    <col min="6" max="6" width="17.42578125" style="4" customWidth="1"/>
    <col min="7" max="8" width="8.7109375" style="1"/>
    <col min="9" max="9" width="11.42578125" style="1" customWidth="1"/>
    <col min="10" max="10" width="8.7109375" style="1"/>
    <col min="11" max="11" width="10.140625" style="1" customWidth="1"/>
    <col min="12" max="16384" width="8.7109375" style="1"/>
  </cols>
  <sheetData>
    <row r="1" spans="1:12" ht="33" x14ac:dyDescent="0.3">
      <c r="A1" s="20" t="s">
        <v>0</v>
      </c>
      <c r="B1" s="248" t="s">
        <v>1</v>
      </c>
      <c r="C1" s="249"/>
      <c r="D1" s="250"/>
      <c r="E1" s="153" t="s">
        <v>2</v>
      </c>
      <c r="F1" s="249" t="s">
        <v>3</v>
      </c>
      <c r="G1" s="249"/>
      <c r="H1" s="249"/>
      <c r="I1" s="249"/>
      <c r="J1" s="249"/>
      <c r="K1" s="249"/>
      <c r="L1" s="249"/>
    </row>
    <row r="2" spans="1:12" x14ac:dyDescent="0.3">
      <c r="A2" s="171">
        <v>1</v>
      </c>
      <c r="B2" s="8" t="s">
        <v>4</v>
      </c>
      <c r="D2" s="4"/>
      <c r="E2" s="151"/>
      <c r="F2" s="1"/>
      <c r="L2" s="11"/>
    </row>
    <row r="3" spans="1:12" x14ac:dyDescent="0.3">
      <c r="A3" s="13" t="s">
        <v>65</v>
      </c>
      <c r="B3" s="21" t="s">
        <v>66</v>
      </c>
      <c r="D3" s="4"/>
      <c r="E3" s="140">
        <v>2</v>
      </c>
      <c r="F3" s="1"/>
      <c r="L3" s="11"/>
    </row>
    <row r="4" spans="1:12" x14ac:dyDescent="0.3">
      <c r="A4" s="10"/>
      <c r="B4" s="2"/>
      <c r="C4" s="52" t="s">
        <v>7</v>
      </c>
      <c r="D4" s="22" t="s">
        <v>8</v>
      </c>
      <c r="E4" s="168"/>
      <c r="F4" s="1"/>
      <c r="L4" s="11"/>
    </row>
    <row r="5" spans="1:12" x14ac:dyDescent="0.3">
      <c r="A5" s="10"/>
      <c r="B5" s="23" t="s">
        <v>67</v>
      </c>
      <c r="C5" s="24">
        <v>6561</v>
      </c>
      <c r="D5" s="32" t="s">
        <v>68</v>
      </c>
      <c r="E5" s="144"/>
      <c r="F5" s="1"/>
      <c r="L5" s="11"/>
    </row>
    <row r="6" spans="1:12" x14ac:dyDescent="0.3">
      <c r="A6" s="10"/>
      <c r="B6" s="23" t="s">
        <v>69</v>
      </c>
      <c r="C6" s="24">
        <v>9543</v>
      </c>
      <c r="D6" s="47" t="s">
        <v>70</v>
      </c>
      <c r="E6" s="144"/>
      <c r="F6" s="1"/>
      <c r="L6" s="11"/>
    </row>
    <row r="7" spans="1:12" x14ac:dyDescent="0.3">
      <c r="A7" s="10"/>
      <c r="B7" s="23" t="s">
        <v>71</v>
      </c>
      <c r="C7" s="24">
        <v>1050</v>
      </c>
      <c r="D7" s="33" t="s">
        <v>10</v>
      </c>
      <c r="E7" s="144"/>
      <c r="F7" s="1"/>
      <c r="L7" s="11"/>
    </row>
    <row r="8" spans="1:12" ht="18" customHeight="1" x14ac:dyDescent="0.3">
      <c r="A8" s="12"/>
      <c r="B8" s="23" t="s">
        <v>72</v>
      </c>
      <c r="C8" s="24">
        <f>C5+C6-C7</f>
        <v>15054</v>
      </c>
      <c r="D8" s="25"/>
      <c r="E8" s="145"/>
      <c r="F8" s="6"/>
      <c r="G8" s="6"/>
      <c r="H8" s="6"/>
      <c r="I8" s="6"/>
      <c r="J8" s="6"/>
      <c r="K8" s="6"/>
      <c r="L8" s="19"/>
    </row>
  </sheetData>
  <mergeCells count="2">
    <mergeCell ref="B1:D1"/>
    <mergeCell ref="F1:L1"/>
  </mergeCells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DC054-2CBD-4AFF-8E96-3B2FDF2AD918}">
  <sheetPr>
    <pageSetUpPr fitToPage="1"/>
  </sheetPr>
  <dimension ref="A1:S45"/>
  <sheetViews>
    <sheetView zoomScale="90" zoomScaleNormal="90" workbookViewId="0">
      <selection activeCell="R26" sqref="R26"/>
    </sheetView>
  </sheetViews>
  <sheetFormatPr defaultColWidth="8.7109375" defaultRowHeight="16.5" x14ac:dyDescent="0.3"/>
  <cols>
    <col min="1" max="1" width="9.85546875" style="1" customWidth="1"/>
    <col min="2" max="2" width="35.42578125" style="1" customWidth="1"/>
    <col min="3" max="3" width="13.85546875" style="1" customWidth="1"/>
    <col min="4" max="4" width="12.7109375" style="1" customWidth="1"/>
    <col min="5" max="5" width="12" style="1" customWidth="1"/>
    <col min="6" max="6" width="14.42578125" style="147" customWidth="1"/>
    <col min="7" max="7" width="8.7109375" style="1"/>
    <col min="8" max="8" width="11.42578125" style="1" customWidth="1"/>
    <col min="9" max="9" width="8.7109375" style="1"/>
    <col min="10" max="10" width="10.140625" style="1" customWidth="1"/>
    <col min="11" max="16384" width="8.7109375" style="1"/>
  </cols>
  <sheetData>
    <row r="1" spans="1:19" s="7" customFormat="1" ht="26.25" customHeight="1" x14ac:dyDescent="0.3">
      <c r="A1" s="20" t="s">
        <v>0</v>
      </c>
      <c r="B1" s="267" t="s">
        <v>1</v>
      </c>
      <c r="C1" s="268"/>
      <c r="D1" s="268"/>
      <c r="E1" s="269"/>
      <c r="F1" s="97" t="s">
        <v>2</v>
      </c>
      <c r="G1" s="250" t="s">
        <v>3</v>
      </c>
      <c r="H1" s="272"/>
      <c r="I1" s="272"/>
      <c r="J1" s="272"/>
      <c r="K1" s="272"/>
      <c r="L1" s="248"/>
      <c r="M1" s="1"/>
      <c r="N1" s="1"/>
      <c r="O1" s="1"/>
      <c r="P1" s="1"/>
      <c r="Q1" s="1"/>
      <c r="R1" s="1"/>
      <c r="S1" s="1"/>
    </row>
    <row r="2" spans="1:19" x14ac:dyDescent="0.3">
      <c r="A2" s="172">
        <v>1</v>
      </c>
      <c r="B2" s="34" t="s">
        <v>4</v>
      </c>
      <c r="C2" s="2"/>
      <c r="D2" s="2"/>
      <c r="E2" s="111"/>
      <c r="F2" s="143"/>
      <c r="G2" s="18"/>
      <c r="H2" s="18"/>
      <c r="I2" s="18"/>
      <c r="J2" s="18"/>
      <c r="K2" s="18"/>
      <c r="L2" s="9"/>
    </row>
    <row r="3" spans="1:19" x14ac:dyDescent="0.3">
      <c r="A3" s="13" t="s">
        <v>73</v>
      </c>
      <c r="B3" s="34" t="s">
        <v>74</v>
      </c>
      <c r="C3" s="2"/>
      <c r="D3" s="2"/>
      <c r="E3" s="2"/>
      <c r="F3" s="217">
        <v>20</v>
      </c>
      <c r="G3" s="10"/>
      <c r="L3" s="11"/>
    </row>
    <row r="4" spans="1:19" x14ac:dyDescent="0.3">
      <c r="A4" s="13"/>
      <c r="B4" s="23"/>
      <c r="C4" s="52" t="s">
        <v>7</v>
      </c>
      <c r="D4" s="52" t="s">
        <v>7</v>
      </c>
      <c r="E4" s="50" t="s">
        <v>8</v>
      </c>
      <c r="F4" s="218"/>
      <c r="G4" s="10"/>
      <c r="H4" s="48"/>
      <c r="L4" s="11"/>
    </row>
    <row r="5" spans="1:19" x14ac:dyDescent="0.3">
      <c r="A5" s="13"/>
      <c r="B5" s="25" t="s">
        <v>75</v>
      </c>
      <c r="C5" s="23"/>
      <c r="D5" s="23"/>
      <c r="E5" s="46"/>
      <c r="F5" s="218"/>
      <c r="G5" s="10"/>
      <c r="H5"/>
      <c r="L5" s="11"/>
    </row>
    <row r="6" spans="1:19" x14ac:dyDescent="0.3">
      <c r="A6" s="13"/>
      <c r="B6" s="23" t="s">
        <v>76</v>
      </c>
      <c r="C6" s="28"/>
      <c r="D6" s="24">
        <v>16878</v>
      </c>
      <c r="E6" s="33" t="s">
        <v>77</v>
      </c>
      <c r="F6" s="218"/>
      <c r="G6" s="254" t="s">
        <v>78</v>
      </c>
      <c r="H6" s="255"/>
      <c r="I6" s="255"/>
      <c r="J6" s="255"/>
      <c r="K6" s="255"/>
      <c r="L6" s="256"/>
    </row>
    <row r="7" spans="1:19" x14ac:dyDescent="0.3">
      <c r="A7" s="13"/>
      <c r="B7" s="23"/>
      <c r="C7" s="28"/>
      <c r="D7" s="28"/>
      <c r="E7" s="33"/>
      <c r="F7" s="218"/>
      <c r="G7" s="10"/>
      <c r="I7"/>
      <c r="L7" s="11"/>
    </row>
    <row r="8" spans="1:19" x14ac:dyDescent="0.3">
      <c r="A8" s="13"/>
      <c r="B8" s="25" t="s">
        <v>79</v>
      </c>
      <c r="C8" s="28"/>
      <c r="D8" s="28"/>
      <c r="E8" s="33"/>
      <c r="F8" s="218"/>
      <c r="G8" s="10"/>
      <c r="I8" s="48"/>
      <c r="L8" s="11"/>
    </row>
    <row r="9" spans="1:19" x14ac:dyDescent="0.3">
      <c r="A9" s="13"/>
      <c r="B9" s="23" t="s">
        <v>80</v>
      </c>
      <c r="C9" s="24">
        <v>8430</v>
      </c>
      <c r="D9" s="28"/>
      <c r="E9" s="33" t="s">
        <v>68</v>
      </c>
      <c r="F9" s="218"/>
      <c r="G9" s="10"/>
      <c r="I9"/>
      <c r="L9" s="11"/>
    </row>
    <row r="10" spans="1:19" ht="33" x14ac:dyDescent="0.3">
      <c r="A10" s="13"/>
      <c r="B10" s="23" t="s">
        <v>81</v>
      </c>
      <c r="C10" s="24">
        <v>9585</v>
      </c>
      <c r="D10" s="28"/>
      <c r="E10" s="33" t="s">
        <v>82</v>
      </c>
      <c r="F10" s="218"/>
      <c r="G10" s="10"/>
      <c r="I10" s="48"/>
      <c r="L10" s="11"/>
    </row>
    <row r="11" spans="1:19" ht="16.5" customHeight="1" x14ac:dyDescent="0.3">
      <c r="A11" s="13"/>
      <c r="B11" s="23" t="s">
        <v>83</v>
      </c>
      <c r="C11" s="24">
        <v>9360</v>
      </c>
      <c r="D11" s="26">
        <f>SUM(C9:C11)</f>
        <v>27375</v>
      </c>
      <c r="E11" s="33" t="s">
        <v>22</v>
      </c>
      <c r="F11" s="218"/>
      <c r="G11" s="270" t="s">
        <v>84</v>
      </c>
      <c r="H11" s="266"/>
      <c r="I11" s="266"/>
      <c r="J11" s="266"/>
      <c r="K11" s="266"/>
      <c r="L11" s="271"/>
    </row>
    <row r="12" spans="1:19" x14ac:dyDescent="0.3">
      <c r="A12" s="13"/>
      <c r="B12" s="25" t="s">
        <v>85</v>
      </c>
      <c r="C12" s="37"/>
      <c r="D12" s="39">
        <f>D6+D11</f>
        <v>44253</v>
      </c>
      <c r="E12" s="33"/>
      <c r="F12" s="218"/>
      <c r="G12" s="10"/>
      <c r="L12" s="11"/>
    </row>
    <row r="13" spans="1:19" x14ac:dyDescent="0.3">
      <c r="A13" s="13"/>
      <c r="B13" s="23"/>
      <c r="C13" s="28"/>
      <c r="D13" s="28"/>
      <c r="E13" s="33"/>
      <c r="F13" s="218"/>
      <c r="G13" s="10"/>
      <c r="L13" s="11"/>
    </row>
    <row r="14" spans="1:19" x14ac:dyDescent="0.3">
      <c r="A14" s="13"/>
      <c r="B14" s="25" t="s">
        <v>86</v>
      </c>
      <c r="C14" s="28"/>
      <c r="D14" s="28"/>
      <c r="E14" s="33"/>
      <c r="F14" s="218"/>
      <c r="G14" s="10"/>
      <c r="L14" s="11"/>
    </row>
    <row r="15" spans="1:19" ht="16.5" customHeight="1" x14ac:dyDescent="0.3">
      <c r="A15" s="13"/>
      <c r="B15" s="23" t="s">
        <v>87</v>
      </c>
      <c r="C15" s="24">
        <v>11214</v>
      </c>
      <c r="D15" s="28"/>
      <c r="E15" s="33" t="s">
        <v>22</v>
      </c>
      <c r="F15" s="218"/>
      <c r="G15" s="270" t="s">
        <v>88</v>
      </c>
      <c r="H15" s="266"/>
      <c r="I15" s="266"/>
      <c r="J15" s="266"/>
      <c r="K15" s="266"/>
      <c r="L15" s="271"/>
    </row>
    <row r="16" spans="1:19" x14ac:dyDescent="0.3">
      <c r="A16" s="13"/>
      <c r="B16" s="23" t="s">
        <v>89</v>
      </c>
      <c r="C16" s="28">
        <v>150</v>
      </c>
      <c r="D16" s="28"/>
      <c r="E16" s="33" t="s">
        <v>22</v>
      </c>
      <c r="F16" s="218"/>
      <c r="G16" s="10" t="s">
        <v>90</v>
      </c>
      <c r="L16" s="11"/>
    </row>
    <row r="17" spans="1:12" x14ac:dyDescent="0.3">
      <c r="A17" s="13"/>
      <c r="B17" s="23" t="s">
        <v>91</v>
      </c>
      <c r="C17" s="26">
        <v>1380</v>
      </c>
      <c r="D17" s="24">
        <f>SUM(C15:C17)</f>
        <v>12744</v>
      </c>
      <c r="E17" s="33" t="s">
        <v>10</v>
      </c>
      <c r="F17" s="218"/>
      <c r="G17" s="10"/>
      <c r="L17" s="11"/>
    </row>
    <row r="18" spans="1:12" x14ac:dyDescent="0.3">
      <c r="A18" s="13"/>
      <c r="B18" s="23"/>
      <c r="C18" s="23"/>
      <c r="D18" s="23"/>
      <c r="E18" s="33"/>
      <c r="F18" s="218"/>
      <c r="G18" s="10"/>
      <c r="L18" s="11"/>
    </row>
    <row r="19" spans="1:12" x14ac:dyDescent="0.3">
      <c r="A19" s="13"/>
      <c r="B19" s="25" t="s">
        <v>92</v>
      </c>
      <c r="C19" s="23"/>
      <c r="D19" s="23"/>
      <c r="E19" s="33"/>
      <c r="F19" s="218"/>
      <c r="G19" s="10"/>
      <c r="L19" s="11"/>
    </row>
    <row r="20" spans="1:12" x14ac:dyDescent="0.3">
      <c r="A20" s="13"/>
      <c r="B20" s="23" t="s">
        <v>93</v>
      </c>
      <c r="C20" s="23"/>
      <c r="D20" s="26">
        <v>1350</v>
      </c>
      <c r="E20" s="33" t="s">
        <v>10</v>
      </c>
      <c r="F20" s="218"/>
      <c r="G20" s="10"/>
      <c r="L20" s="11"/>
    </row>
    <row r="21" spans="1:12" x14ac:dyDescent="0.3">
      <c r="A21" s="13"/>
      <c r="B21" s="25" t="s">
        <v>94</v>
      </c>
      <c r="C21" s="25"/>
      <c r="D21" s="51">
        <f>D17+D20</f>
        <v>14094</v>
      </c>
      <c r="E21" s="46"/>
      <c r="F21" s="218"/>
      <c r="G21" s="10"/>
      <c r="L21" s="11"/>
    </row>
    <row r="22" spans="1:12" x14ac:dyDescent="0.3">
      <c r="A22" s="13"/>
      <c r="B22" s="25" t="s">
        <v>95</v>
      </c>
      <c r="C22" s="25"/>
      <c r="D22" s="39">
        <f>D12-D21</f>
        <v>30159</v>
      </c>
      <c r="E22" s="46"/>
      <c r="F22" s="218"/>
      <c r="G22" s="10"/>
      <c r="L22" s="11"/>
    </row>
    <row r="23" spans="1:12" x14ac:dyDescent="0.3">
      <c r="A23" s="13"/>
      <c r="B23" s="23"/>
      <c r="C23" s="23"/>
      <c r="D23" s="28"/>
      <c r="E23" s="46"/>
      <c r="F23" s="218"/>
      <c r="G23" s="10"/>
      <c r="L23" s="11"/>
    </row>
    <row r="24" spans="1:12" x14ac:dyDescent="0.3">
      <c r="A24" s="13"/>
      <c r="B24" s="25" t="s">
        <v>96</v>
      </c>
      <c r="C24" s="23"/>
      <c r="D24" s="28"/>
      <c r="E24" s="46"/>
      <c r="F24" s="218"/>
      <c r="G24" s="10"/>
      <c r="L24" s="11"/>
    </row>
    <row r="25" spans="1:12" x14ac:dyDescent="0.3">
      <c r="A25" s="13"/>
      <c r="B25" s="23" t="s">
        <v>97</v>
      </c>
      <c r="C25" s="23"/>
      <c r="D25" s="24">
        <v>12000</v>
      </c>
      <c r="E25" s="33" t="s">
        <v>68</v>
      </c>
      <c r="F25" s="218"/>
      <c r="G25" s="10"/>
      <c r="L25" s="11"/>
    </row>
    <row r="26" spans="1:12" ht="33" x14ac:dyDescent="0.3">
      <c r="A26" s="13"/>
      <c r="B26" s="23" t="s">
        <v>98</v>
      </c>
      <c r="C26" s="23"/>
      <c r="D26" s="24">
        <v>1905</v>
      </c>
      <c r="E26" s="33" t="s">
        <v>82</v>
      </c>
      <c r="F26" s="218"/>
      <c r="G26" s="10"/>
      <c r="L26" s="11"/>
    </row>
    <row r="27" spans="1:12" x14ac:dyDescent="0.3">
      <c r="A27" s="13"/>
      <c r="B27" s="23" t="s">
        <v>99</v>
      </c>
      <c r="C27" s="23"/>
      <c r="D27" s="24">
        <v>15054</v>
      </c>
      <c r="E27" s="33" t="s">
        <v>10</v>
      </c>
      <c r="F27" s="218"/>
      <c r="G27" s="10"/>
      <c r="L27" s="11"/>
    </row>
    <row r="28" spans="1:12" x14ac:dyDescent="0.3">
      <c r="A28" s="13"/>
      <c r="B28" s="23" t="s">
        <v>100</v>
      </c>
      <c r="C28" s="23"/>
      <c r="D28" s="24">
        <v>1200</v>
      </c>
      <c r="E28" s="33" t="s">
        <v>10</v>
      </c>
      <c r="F28" s="218"/>
      <c r="G28" s="10"/>
      <c r="L28" s="11"/>
    </row>
    <row r="29" spans="1:12" x14ac:dyDescent="0.3">
      <c r="A29" s="10"/>
      <c r="B29" s="25" t="s">
        <v>101</v>
      </c>
      <c r="C29" s="25"/>
      <c r="D29" s="39">
        <f>SUM(D25:D28)</f>
        <v>30159</v>
      </c>
      <c r="E29" s="52"/>
      <c r="F29" s="218"/>
      <c r="G29" s="10"/>
      <c r="L29" s="11"/>
    </row>
    <row r="30" spans="1:12" ht="64.5" customHeight="1" x14ac:dyDescent="0.3">
      <c r="A30" s="14"/>
      <c r="B30" s="27" t="s">
        <v>26</v>
      </c>
      <c r="C30" s="2"/>
      <c r="D30" s="2"/>
      <c r="E30" s="2"/>
      <c r="F30" s="219"/>
      <c r="G30" s="259" t="s">
        <v>325</v>
      </c>
      <c r="H30" s="260"/>
      <c r="I30" s="260"/>
      <c r="J30" s="260"/>
      <c r="K30" s="260"/>
      <c r="L30" s="261"/>
    </row>
    <row r="31" spans="1:12" ht="16.5" customHeight="1" x14ac:dyDescent="0.3">
      <c r="B31" s="30"/>
      <c r="C31" s="266"/>
      <c r="D31" s="266"/>
      <c r="E31" s="266"/>
    </row>
    <row r="32" spans="1:12" x14ac:dyDescent="0.3">
      <c r="A32" s="7"/>
      <c r="B32" s="267" t="s">
        <v>102</v>
      </c>
      <c r="C32" s="268"/>
      <c r="D32" s="268"/>
      <c r="E32" s="268"/>
      <c r="F32" s="269"/>
    </row>
    <row r="33" spans="1:6" x14ac:dyDescent="0.3">
      <c r="A33" s="13"/>
      <c r="B33" s="54" t="s">
        <v>103</v>
      </c>
      <c r="C33" s="36" t="s">
        <v>104</v>
      </c>
      <c r="D33" s="36" t="s">
        <v>105</v>
      </c>
      <c r="E33" s="36" t="s">
        <v>106</v>
      </c>
      <c r="F33" s="36" t="s">
        <v>8</v>
      </c>
    </row>
    <row r="34" spans="1:6" x14ac:dyDescent="0.3">
      <c r="A34" s="13"/>
      <c r="B34" s="54"/>
      <c r="C34" s="52" t="s">
        <v>7</v>
      </c>
      <c r="D34" s="52" t="s">
        <v>7</v>
      </c>
      <c r="E34" s="52" t="s">
        <v>7</v>
      </c>
      <c r="F34" s="36"/>
    </row>
    <row r="35" spans="1:6" x14ac:dyDescent="0.3">
      <c r="A35" s="13"/>
      <c r="B35" s="55" t="s">
        <v>107</v>
      </c>
      <c r="C35" s="24">
        <v>12000</v>
      </c>
      <c r="D35" s="24">
        <v>1200</v>
      </c>
      <c r="E35" s="24">
        <f>C35-D35</f>
        <v>10800</v>
      </c>
      <c r="F35" s="36"/>
    </row>
    <row r="36" spans="1:6" x14ac:dyDescent="0.3">
      <c r="A36" s="13"/>
      <c r="B36" s="55" t="s">
        <v>108</v>
      </c>
      <c r="C36" s="179">
        <v>-1800</v>
      </c>
      <c r="D36" s="28">
        <v>180</v>
      </c>
      <c r="E36" s="179">
        <f>C36+D36</f>
        <v>-1620</v>
      </c>
      <c r="F36" s="197" t="s">
        <v>109</v>
      </c>
    </row>
    <row r="37" spans="1:6" x14ac:dyDescent="0.3">
      <c r="A37" s="13"/>
      <c r="B37" s="55" t="s">
        <v>110</v>
      </c>
      <c r="C37" s="28"/>
      <c r="D37" s="179">
        <v>-510</v>
      </c>
      <c r="E37" s="179">
        <f>D37</f>
        <v>-510</v>
      </c>
      <c r="F37" s="197" t="s">
        <v>109</v>
      </c>
    </row>
    <row r="38" spans="1:6" x14ac:dyDescent="0.3">
      <c r="A38" s="13"/>
      <c r="B38" s="55" t="s">
        <v>111</v>
      </c>
      <c r="C38" s="24">
        <v>10200</v>
      </c>
      <c r="D38" s="24">
        <v>1530</v>
      </c>
      <c r="E38" s="24">
        <v>8670</v>
      </c>
      <c r="F38" s="197" t="s">
        <v>109</v>
      </c>
    </row>
    <row r="39" spans="1:6" x14ac:dyDescent="0.3">
      <c r="A39" s="13"/>
      <c r="B39" s="55"/>
      <c r="C39" s="23"/>
      <c r="D39" s="23"/>
      <c r="E39" s="28"/>
      <c r="F39" s="197"/>
    </row>
    <row r="40" spans="1:6" x14ac:dyDescent="0.3">
      <c r="A40" s="13"/>
      <c r="B40" s="55" t="s">
        <v>112</v>
      </c>
      <c r="C40" s="265"/>
      <c r="D40" s="265"/>
      <c r="E40" s="24">
        <v>3600</v>
      </c>
      <c r="F40" s="198" t="s">
        <v>10</v>
      </c>
    </row>
    <row r="41" spans="1:6" x14ac:dyDescent="0.3">
      <c r="A41" s="13"/>
      <c r="B41" s="55" t="s">
        <v>113</v>
      </c>
      <c r="C41" s="265"/>
      <c r="D41" s="265"/>
      <c r="E41" s="24">
        <v>12270</v>
      </c>
      <c r="F41" s="199"/>
    </row>
    <row r="42" spans="1:6" x14ac:dyDescent="0.3">
      <c r="A42" s="13"/>
      <c r="B42" s="55" t="s">
        <v>114</v>
      </c>
      <c r="C42" s="28" t="s">
        <v>115</v>
      </c>
      <c r="D42" s="28" t="s">
        <v>116</v>
      </c>
      <c r="E42" s="24">
        <v>4608</v>
      </c>
      <c r="F42" s="62"/>
    </row>
    <row r="43" spans="1:6" x14ac:dyDescent="0.3">
      <c r="A43" s="14"/>
      <c r="B43" s="55" t="s">
        <v>117</v>
      </c>
      <c r="C43" s="28"/>
      <c r="D43" s="28"/>
      <c r="E43" s="24">
        <v>16878</v>
      </c>
      <c r="F43" s="62"/>
    </row>
    <row r="45" spans="1:6" x14ac:dyDescent="0.3">
      <c r="E45" s="53"/>
    </row>
  </sheetData>
  <mergeCells count="10">
    <mergeCell ref="C40:D40"/>
    <mergeCell ref="C41:D41"/>
    <mergeCell ref="C31:E31"/>
    <mergeCell ref="B1:E1"/>
    <mergeCell ref="G6:L6"/>
    <mergeCell ref="G11:L11"/>
    <mergeCell ref="G15:L15"/>
    <mergeCell ref="G30:L30"/>
    <mergeCell ref="G1:L1"/>
    <mergeCell ref="B32:F32"/>
  </mergeCells>
  <pageMargins left="0.7" right="0.7" top="0.75" bottom="0.75" header="0.3" footer="0.3"/>
  <pageSetup paperSize="9" scale="84" fitToHeight="0" orientation="landscape" r:id="rId1"/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05A86-02D3-4BA3-A33C-54A9136C8D7A}">
  <sheetPr>
    <pageSetUpPr fitToPage="1"/>
  </sheetPr>
  <dimension ref="A1:T27"/>
  <sheetViews>
    <sheetView zoomScale="80" zoomScaleNormal="80" workbookViewId="0">
      <selection activeCell="I3" sqref="I3"/>
    </sheetView>
  </sheetViews>
  <sheetFormatPr defaultColWidth="8.7109375" defaultRowHeight="16.5" x14ac:dyDescent="0.3"/>
  <cols>
    <col min="1" max="1" width="10.140625" style="1" customWidth="1"/>
    <col min="2" max="2" width="17.5703125" style="1" customWidth="1"/>
    <col min="3" max="3" width="12.28515625" style="1" customWidth="1"/>
    <col min="4" max="4" width="8.5703125" style="1" customWidth="1"/>
    <col min="5" max="5" width="7.85546875" style="1" customWidth="1"/>
    <col min="6" max="6" width="12.28515625" style="1" customWidth="1"/>
    <col min="7" max="7" width="11.42578125" style="1" customWidth="1"/>
    <col min="8" max="8" width="10" style="1" customWidth="1"/>
    <col min="9" max="9" width="7.7109375" style="4" customWidth="1"/>
    <col min="10" max="10" width="11.28515625" style="1" customWidth="1"/>
    <col min="11" max="11" width="54.140625" style="1" customWidth="1"/>
    <col min="12" max="12" width="7.140625" style="1" hidden="1" customWidth="1"/>
    <col min="13" max="13" width="8.7109375" style="1" hidden="1" customWidth="1"/>
    <col min="14" max="16384" width="8.7109375" style="1"/>
  </cols>
  <sheetData>
    <row r="1" spans="1:20" s="7" customFormat="1" x14ac:dyDescent="0.3">
      <c r="A1" s="20" t="s">
        <v>0</v>
      </c>
      <c r="B1" s="248" t="s">
        <v>1</v>
      </c>
      <c r="C1" s="248"/>
      <c r="D1" s="248"/>
      <c r="E1" s="248"/>
      <c r="F1" s="248"/>
      <c r="G1" s="248"/>
      <c r="H1" s="249"/>
      <c r="I1" s="250"/>
      <c r="J1" s="65" t="s">
        <v>2</v>
      </c>
      <c r="K1" s="56" t="s">
        <v>3</v>
      </c>
      <c r="L1" s="85"/>
      <c r="M1" s="148"/>
      <c r="N1" s="1"/>
      <c r="O1" s="1"/>
      <c r="P1" s="1"/>
      <c r="Q1" s="1"/>
      <c r="R1" s="1"/>
      <c r="S1" s="1"/>
      <c r="T1" s="1"/>
    </row>
    <row r="2" spans="1:20" x14ac:dyDescent="0.3">
      <c r="A2" s="7" t="s">
        <v>118</v>
      </c>
      <c r="B2" s="276" t="s">
        <v>119</v>
      </c>
      <c r="C2" s="277"/>
      <c r="D2" s="277"/>
      <c r="E2" s="277"/>
      <c r="F2" s="277"/>
      <c r="G2" s="277"/>
      <c r="H2" s="277"/>
      <c r="I2" s="277"/>
      <c r="J2" s="65"/>
      <c r="K2" s="7"/>
      <c r="L2" s="18"/>
      <c r="M2" s="9"/>
    </row>
    <row r="3" spans="1:20" x14ac:dyDescent="0.3">
      <c r="A3" s="13" t="s">
        <v>5</v>
      </c>
      <c r="B3" s="21"/>
      <c r="C3" s="21"/>
      <c r="D3" s="21"/>
      <c r="E3" s="21"/>
      <c r="F3" s="21"/>
      <c r="G3" s="21"/>
      <c r="I3" s="57"/>
      <c r="J3" s="140">
        <v>9</v>
      </c>
      <c r="K3" s="13"/>
      <c r="M3" s="11"/>
    </row>
    <row r="4" spans="1:20" ht="16.5" customHeight="1" x14ac:dyDescent="0.3">
      <c r="A4" s="13"/>
      <c r="B4" s="35"/>
      <c r="C4" s="66" t="s">
        <v>120</v>
      </c>
      <c r="D4" s="66" t="s">
        <v>121</v>
      </c>
      <c r="E4" s="66"/>
      <c r="F4" s="66" t="s">
        <v>122</v>
      </c>
      <c r="G4" s="66" t="s">
        <v>123</v>
      </c>
      <c r="H4" s="66" t="s">
        <v>124</v>
      </c>
      <c r="I4" s="41"/>
      <c r="J4" s="16"/>
      <c r="K4" s="275" t="s">
        <v>125</v>
      </c>
      <c r="L4" s="30"/>
      <c r="M4" s="89"/>
    </row>
    <row r="5" spans="1:20" x14ac:dyDescent="0.3">
      <c r="A5" s="13"/>
      <c r="B5" s="67" t="s">
        <v>126</v>
      </c>
      <c r="C5" s="68">
        <v>50000</v>
      </c>
      <c r="D5" s="69">
        <v>4</v>
      </c>
      <c r="E5" s="181" t="s">
        <v>127</v>
      </c>
      <c r="F5" s="68">
        <f>C5*D5</f>
        <v>200000</v>
      </c>
      <c r="G5" s="68">
        <v>18000</v>
      </c>
      <c r="H5" s="68">
        <f>F5-G5</f>
        <v>182000</v>
      </c>
      <c r="I5" s="278" t="s">
        <v>10</v>
      </c>
      <c r="J5" s="13"/>
      <c r="K5" s="275"/>
      <c r="L5" s="30"/>
      <c r="M5" s="89"/>
    </row>
    <row r="6" spans="1:20" x14ac:dyDescent="0.3">
      <c r="A6" s="13"/>
      <c r="B6" s="67" t="s">
        <v>128</v>
      </c>
      <c r="C6" s="68">
        <v>50000</v>
      </c>
      <c r="D6" s="69">
        <v>1.48</v>
      </c>
      <c r="E6" s="182" t="s">
        <v>10</v>
      </c>
      <c r="F6" s="68">
        <f t="shared" ref="F6:F7" si="0">C6*D6</f>
        <v>74000</v>
      </c>
      <c r="G6" s="68">
        <v>18000</v>
      </c>
      <c r="H6" s="68">
        <f t="shared" ref="H6:H7" si="1">F6-G6</f>
        <v>56000</v>
      </c>
      <c r="I6" s="278"/>
      <c r="J6" s="13"/>
      <c r="K6" s="275"/>
      <c r="M6" s="11"/>
    </row>
    <row r="7" spans="1:20" x14ac:dyDescent="0.3">
      <c r="A7" s="13"/>
      <c r="B7" s="67" t="s">
        <v>129</v>
      </c>
      <c r="C7" s="68">
        <v>50000</v>
      </c>
      <c r="D7" s="69">
        <v>1.48</v>
      </c>
      <c r="E7" s="70"/>
      <c r="F7" s="68">
        <f t="shared" si="0"/>
        <v>74000</v>
      </c>
      <c r="G7" s="68">
        <v>18000</v>
      </c>
      <c r="H7" s="68">
        <f t="shared" si="1"/>
        <v>56000</v>
      </c>
      <c r="I7" s="278"/>
      <c r="J7" s="13"/>
      <c r="K7" s="13"/>
      <c r="M7" s="11"/>
    </row>
    <row r="8" spans="1:20" x14ac:dyDescent="0.3">
      <c r="A8" s="13"/>
      <c r="B8" s="67"/>
      <c r="C8" s="67"/>
      <c r="D8" s="67"/>
      <c r="E8" s="67"/>
      <c r="F8" s="67"/>
      <c r="G8" s="180" t="s">
        <v>10</v>
      </c>
      <c r="H8" s="67"/>
      <c r="I8" s="41"/>
      <c r="J8" s="13"/>
      <c r="K8" s="13" t="s">
        <v>130</v>
      </c>
      <c r="M8" s="11"/>
    </row>
    <row r="9" spans="1:20" x14ac:dyDescent="0.3">
      <c r="A9" s="13"/>
      <c r="B9" s="71"/>
      <c r="C9" s="71"/>
      <c r="D9" s="71"/>
      <c r="E9" s="71"/>
      <c r="F9" s="71"/>
      <c r="G9" s="71"/>
      <c r="H9" s="72"/>
      <c r="I9" s="73"/>
      <c r="J9" s="13"/>
      <c r="K9" s="13"/>
      <c r="M9" s="11"/>
    </row>
    <row r="10" spans="1:20" x14ac:dyDescent="0.3">
      <c r="A10" s="13"/>
      <c r="B10" s="267" t="s">
        <v>131</v>
      </c>
      <c r="C10" s="268"/>
      <c r="D10" s="268"/>
      <c r="E10" s="268"/>
      <c r="F10" s="268"/>
      <c r="G10" s="268"/>
      <c r="H10" s="268"/>
      <c r="I10" s="268"/>
      <c r="J10" s="13"/>
      <c r="K10" s="13"/>
      <c r="M10" s="11"/>
    </row>
    <row r="11" spans="1:20" x14ac:dyDescent="0.3">
      <c r="A11" s="13"/>
      <c r="B11" s="74"/>
      <c r="C11" s="74"/>
      <c r="D11" s="74"/>
      <c r="E11" s="74"/>
      <c r="F11" s="74"/>
      <c r="G11" s="74"/>
      <c r="H11" s="74"/>
      <c r="I11" s="75"/>
      <c r="J11" s="76"/>
      <c r="K11" s="13"/>
      <c r="M11" s="11"/>
    </row>
    <row r="12" spans="1:20" x14ac:dyDescent="0.3">
      <c r="A12" s="13"/>
      <c r="B12" s="35"/>
      <c r="C12" s="66" t="s">
        <v>120</v>
      </c>
      <c r="D12" s="66" t="s">
        <v>121</v>
      </c>
      <c r="E12" s="66"/>
      <c r="F12" s="66" t="s">
        <v>122</v>
      </c>
      <c r="G12" s="66" t="s">
        <v>123</v>
      </c>
      <c r="H12" s="66" t="s">
        <v>124</v>
      </c>
      <c r="I12" s="28"/>
      <c r="J12" s="64"/>
      <c r="K12" s="13"/>
      <c r="M12" s="11"/>
    </row>
    <row r="13" spans="1:20" x14ac:dyDescent="0.3">
      <c r="A13" s="13"/>
      <c r="B13" s="67" t="s">
        <v>126</v>
      </c>
      <c r="C13" s="68">
        <v>54000</v>
      </c>
      <c r="D13" s="69">
        <v>11</v>
      </c>
      <c r="E13" s="77" t="s">
        <v>68</v>
      </c>
      <c r="F13" s="68">
        <f>C13*D13</f>
        <v>594000</v>
      </c>
      <c r="G13" s="68">
        <v>3000</v>
      </c>
      <c r="H13" s="68">
        <f>F13-G13</f>
        <v>591000</v>
      </c>
      <c r="I13" s="273" t="s">
        <v>10</v>
      </c>
      <c r="J13" s="78"/>
      <c r="K13" s="13"/>
      <c r="M13" s="11"/>
    </row>
    <row r="14" spans="1:20" x14ac:dyDescent="0.3">
      <c r="A14" s="13"/>
      <c r="B14" s="67" t="s">
        <v>128</v>
      </c>
      <c r="C14" s="68">
        <v>54000</v>
      </c>
      <c r="D14" s="69">
        <v>8.7200000000000006</v>
      </c>
      <c r="E14" s="182" t="s">
        <v>10</v>
      </c>
      <c r="F14" s="68">
        <f t="shared" ref="F14:F15" si="2">C14*D14</f>
        <v>470880.00000000006</v>
      </c>
      <c r="G14" s="68">
        <v>4000</v>
      </c>
      <c r="H14" s="68">
        <f t="shared" ref="H14:H15" si="3">F14-G14</f>
        <v>466880.00000000006</v>
      </c>
      <c r="I14" s="273"/>
      <c r="J14" s="64"/>
      <c r="K14" s="13"/>
      <c r="M14" s="11"/>
    </row>
    <row r="15" spans="1:20" x14ac:dyDescent="0.3">
      <c r="A15" s="13"/>
      <c r="B15" s="67" t="s">
        <v>129</v>
      </c>
      <c r="C15" s="68">
        <v>54000</v>
      </c>
      <c r="D15" s="69">
        <v>8.7200000000000006</v>
      </c>
      <c r="E15" s="79"/>
      <c r="F15" s="68">
        <f t="shared" si="2"/>
        <v>470880.00000000006</v>
      </c>
      <c r="G15" s="68">
        <v>5000</v>
      </c>
      <c r="H15" s="68">
        <f t="shared" si="3"/>
        <v>465880.00000000006</v>
      </c>
      <c r="I15" s="273"/>
      <c r="J15" s="78"/>
      <c r="K15" s="13"/>
      <c r="M15" s="11"/>
    </row>
    <row r="16" spans="1:20" x14ac:dyDescent="0.3">
      <c r="A16" s="13"/>
      <c r="B16" s="67"/>
      <c r="C16" s="180" t="s">
        <v>10</v>
      </c>
      <c r="D16" s="67"/>
      <c r="E16" s="67"/>
      <c r="F16" s="67"/>
      <c r="G16" s="180" t="s">
        <v>10</v>
      </c>
      <c r="H16" s="67"/>
      <c r="I16" s="41"/>
      <c r="J16" s="80"/>
      <c r="K16" s="13"/>
      <c r="M16" s="11"/>
    </row>
    <row r="17" spans="1:13" x14ac:dyDescent="0.3">
      <c r="A17" s="13"/>
      <c r="B17" s="2"/>
      <c r="C17" s="2"/>
      <c r="D17" s="2"/>
      <c r="E17" s="2"/>
      <c r="F17" s="2"/>
      <c r="G17" s="2"/>
      <c r="H17" s="3"/>
      <c r="I17" s="81"/>
      <c r="J17" s="13"/>
      <c r="K17" s="13"/>
      <c r="M17" s="11"/>
    </row>
    <row r="18" spans="1:13" x14ac:dyDescent="0.3">
      <c r="A18" s="13"/>
      <c r="B18" s="2"/>
      <c r="C18" s="2"/>
      <c r="D18" s="2"/>
      <c r="E18" s="2"/>
      <c r="F18" s="2"/>
      <c r="G18" s="2"/>
      <c r="H18" s="2"/>
      <c r="I18" s="82"/>
      <c r="J18" s="13"/>
      <c r="K18" s="13"/>
      <c r="M18" s="11"/>
    </row>
    <row r="19" spans="1:13" x14ac:dyDescent="0.3">
      <c r="A19" s="13"/>
      <c r="B19" s="83" t="s">
        <v>132</v>
      </c>
      <c r="C19" s="35"/>
      <c r="D19" s="35"/>
      <c r="E19" s="35"/>
      <c r="F19" s="35"/>
      <c r="G19" s="35"/>
      <c r="H19" s="2"/>
      <c r="I19" s="2"/>
      <c r="J19" s="13"/>
      <c r="K19" s="13"/>
      <c r="M19" s="11"/>
    </row>
    <row r="20" spans="1:13" x14ac:dyDescent="0.3">
      <c r="A20" s="13"/>
      <c r="B20" s="83"/>
      <c r="C20" s="35"/>
      <c r="D20" s="35"/>
      <c r="E20" s="35"/>
      <c r="F20" s="35"/>
      <c r="G20" s="35"/>
      <c r="H20" s="2"/>
      <c r="I20" s="2"/>
      <c r="J20" s="13"/>
      <c r="K20" s="13"/>
      <c r="M20" s="11"/>
    </row>
    <row r="21" spans="1:13" x14ac:dyDescent="0.3">
      <c r="A21" s="13"/>
      <c r="B21" s="23"/>
      <c r="C21" s="274" t="s">
        <v>126</v>
      </c>
      <c r="D21" s="274"/>
      <c r="E21" s="35"/>
      <c r="F21" s="274" t="s">
        <v>133</v>
      </c>
      <c r="G21" s="274"/>
      <c r="H21" s="2"/>
      <c r="I21" s="2"/>
      <c r="J21" s="13"/>
      <c r="K21" s="13"/>
      <c r="M21" s="11"/>
    </row>
    <row r="22" spans="1:13" x14ac:dyDescent="0.3">
      <c r="A22" s="13"/>
      <c r="B22" s="23"/>
      <c r="C22" s="66" t="s">
        <v>134</v>
      </c>
      <c r="D22" s="66" t="s">
        <v>135</v>
      </c>
      <c r="E22" s="35"/>
      <c r="F22" s="66" t="s">
        <v>134</v>
      </c>
      <c r="G22" s="66" t="s">
        <v>135</v>
      </c>
      <c r="H22" s="2"/>
      <c r="I22" s="2"/>
      <c r="J22" s="13"/>
      <c r="K22" s="13"/>
      <c r="M22" s="11"/>
    </row>
    <row r="23" spans="1:13" x14ac:dyDescent="0.3">
      <c r="A23" s="13"/>
      <c r="B23" s="23" t="s">
        <v>136</v>
      </c>
      <c r="C23" s="69">
        <v>36</v>
      </c>
      <c r="D23" s="69">
        <v>36</v>
      </c>
      <c r="E23" s="69"/>
      <c r="F23" s="69">
        <v>36</v>
      </c>
      <c r="G23" s="69">
        <v>36</v>
      </c>
      <c r="H23" s="2"/>
      <c r="I23" s="84"/>
      <c r="J23" s="13"/>
      <c r="K23" s="13"/>
      <c r="M23" s="11"/>
    </row>
    <row r="24" spans="1:13" x14ac:dyDescent="0.3">
      <c r="A24" s="13"/>
      <c r="B24" s="23" t="s">
        <v>137</v>
      </c>
      <c r="C24" s="69">
        <v>12</v>
      </c>
      <c r="D24" s="69">
        <v>12</v>
      </c>
      <c r="E24" s="69"/>
      <c r="F24" s="69">
        <v>13.44</v>
      </c>
      <c r="G24" s="69">
        <v>13.44</v>
      </c>
      <c r="H24" s="2"/>
      <c r="I24" s="84"/>
      <c r="J24" s="13"/>
      <c r="K24" s="13"/>
      <c r="M24" s="11"/>
    </row>
    <row r="25" spans="1:13" x14ac:dyDescent="0.3">
      <c r="A25" s="13"/>
      <c r="B25" s="23" t="s">
        <v>138</v>
      </c>
      <c r="C25" s="69">
        <v>9</v>
      </c>
      <c r="D25" s="69">
        <v>7</v>
      </c>
      <c r="E25" s="69"/>
      <c r="F25" s="69">
        <v>10.08</v>
      </c>
      <c r="G25" s="69">
        <v>7.84</v>
      </c>
      <c r="H25" s="2"/>
      <c r="I25" s="84"/>
      <c r="J25" s="13"/>
      <c r="K25" s="13"/>
      <c r="M25" s="11"/>
    </row>
    <row r="26" spans="1:13" x14ac:dyDescent="0.3">
      <c r="A26" s="13"/>
      <c r="B26" s="23" t="s">
        <v>139</v>
      </c>
      <c r="C26" s="69">
        <v>11</v>
      </c>
      <c r="D26" s="69">
        <v>6</v>
      </c>
      <c r="E26" s="69"/>
      <c r="F26" s="69">
        <v>11</v>
      </c>
      <c r="G26" s="69">
        <v>6</v>
      </c>
      <c r="H26" s="2"/>
      <c r="I26" s="84"/>
      <c r="J26" s="13"/>
      <c r="K26" s="13"/>
      <c r="M26" s="11"/>
    </row>
    <row r="27" spans="1:13" ht="16.5" customHeight="1" x14ac:dyDescent="0.3">
      <c r="A27" s="14"/>
      <c r="B27" s="23" t="s">
        <v>140</v>
      </c>
      <c r="C27" s="69">
        <f>C23-SUM(C24:C26)</f>
        <v>4</v>
      </c>
      <c r="D27" s="69">
        <f t="shared" ref="D27:G27" si="4">D23-SUM(D24:D26)</f>
        <v>11</v>
      </c>
      <c r="E27" s="69"/>
      <c r="F27" s="69">
        <f t="shared" si="4"/>
        <v>1.480000000000004</v>
      </c>
      <c r="G27" s="69">
        <f t="shared" si="4"/>
        <v>8.7199999999999989</v>
      </c>
      <c r="H27" s="2"/>
      <c r="I27" s="84"/>
      <c r="J27" s="14"/>
      <c r="K27" s="14"/>
      <c r="L27" s="6"/>
      <c r="M27" s="19"/>
    </row>
  </sheetData>
  <mergeCells count="8">
    <mergeCell ref="I13:I15"/>
    <mergeCell ref="C21:D21"/>
    <mergeCell ref="F21:G21"/>
    <mergeCell ref="K4:K6"/>
    <mergeCell ref="B1:I1"/>
    <mergeCell ref="B2:I2"/>
    <mergeCell ref="I5:I7"/>
    <mergeCell ref="B10:I10"/>
  </mergeCells>
  <pageMargins left="0.7" right="0.7" top="0.75" bottom="0.75" header="0.3" footer="0.3"/>
  <pageSetup paperSize="9" scale="8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F433-13A5-43F4-A817-B10A86286A65}">
  <sheetPr>
    <pageSetUpPr fitToPage="1"/>
  </sheetPr>
  <dimension ref="A1:U24"/>
  <sheetViews>
    <sheetView topLeftCell="A9" zoomScale="90" zoomScaleNormal="90" workbookViewId="0">
      <selection activeCell="C24" sqref="C24"/>
    </sheetView>
  </sheetViews>
  <sheetFormatPr defaultColWidth="8.7109375" defaultRowHeight="16.5" x14ac:dyDescent="0.3"/>
  <cols>
    <col min="1" max="1" width="13.42578125" style="1" customWidth="1"/>
    <col min="2" max="2" width="17.5703125" style="1" customWidth="1"/>
    <col min="3" max="3" width="23.28515625" style="1" customWidth="1"/>
    <col min="4" max="7" width="13.140625" style="1" customWidth="1"/>
    <col min="8" max="8" width="30" style="1" customWidth="1"/>
    <col min="9" max="9" width="10" style="1" customWidth="1"/>
    <col min="10" max="10" width="7.7109375" style="4" customWidth="1"/>
    <col min="11" max="11" width="11.28515625" style="1" customWidth="1"/>
    <col min="12" max="12" width="54.140625" style="1" customWidth="1"/>
    <col min="13" max="13" width="7.140625" style="1" hidden="1" customWidth="1"/>
    <col min="14" max="14" width="8.7109375" style="1" hidden="1" customWidth="1"/>
    <col min="15" max="16384" width="8.7109375" style="1"/>
  </cols>
  <sheetData>
    <row r="1" spans="1:21" s="7" customFormat="1" x14ac:dyDescent="0.3">
      <c r="A1" s="20" t="s">
        <v>0</v>
      </c>
      <c r="B1" s="248" t="s">
        <v>1</v>
      </c>
      <c r="C1" s="248"/>
      <c r="D1" s="248"/>
      <c r="E1" s="248"/>
      <c r="F1" s="248"/>
      <c r="G1" s="248"/>
      <c r="H1" s="248"/>
      <c r="I1" s="249"/>
      <c r="J1" s="250"/>
      <c r="K1" s="65" t="s">
        <v>2</v>
      </c>
      <c r="L1" s="56" t="s">
        <v>3</v>
      </c>
      <c r="M1" s="85"/>
      <c r="N1" s="148"/>
      <c r="O1" s="1"/>
      <c r="P1" s="1"/>
      <c r="Q1" s="1"/>
      <c r="R1" s="1"/>
      <c r="S1" s="1"/>
      <c r="T1" s="1"/>
      <c r="U1" s="1"/>
    </row>
    <row r="2" spans="1:21" x14ac:dyDescent="0.3">
      <c r="A2" s="7" t="s">
        <v>118</v>
      </c>
      <c r="B2" s="8" t="s">
        <v>326</v>
      </c>
      <c r="K2" s="65"/>
      <c r="L2" s="7"/>
      <c r="M2" s="18"/>
      <c r="N2" s="9"/>
    </row>
    <row r="3" spans="1:21" x14ac:dyDescent="0.3">
      <c r="A3" s="13" t="s">
        <v>5</v>
      </c>
      <c r="B3" s="276" t="s">
        <v>119</v>
      </c>
      <c r="C3" s="277"/>
      <c r="D3" s="277"/>
      <c r="E3" s="277"/>
      <c r="F3" s="277"/>
      <c r="G3" s="277"/>
      <c r="H3" s="277"/>
      <c r="I3" s="277"/>
      <c r="J3" s="277"/>
      <c r="K3" s="140">
        <v>9</v>
      </c>
      <c r="L3" s="13"/>
      <c r="N3" s="11"/>
    </row>
    <row r="4" spans="1:21" ht="16.5" customHeight="1" x14ac:dyDescent="0.3">
      <c r="A4" s="13"/>
      <c r="B4" s="35"/>
      <c r="C4" s="66"/>
      <c r="D4" s="56" t="s">
        <v>126</v>
      </c>
      <c r="E4" s="56"/>
      <c r="F4" s="56" t="s">
        <v>128</v>
      </c>
      <c r="G4" s="56" t="s">
        <v>129</v>
      </c>
      <c r="H4" s="66"/>
      <c r="I4" s="66"/>
      <c r="J4" s="41"/>
      <c r="K4" s="16"/>
      <c r="L4" s="234"/>
      <c r="M4" s="30"/>
      <c r="N4" s="89"/>
    </row>
    <row r="5" spans="1:21" x14ac:dyDescent="0.3">
      <c r="A5" s="13"/>
      <c r="B5" s="67"/>
      <c r="C5" s="68"/>
      <c r="D5" s="243" t="s">
        <v>7</v>
      </c>
      <c r="E5" s="56"/>
      <c r="F5" s="243" t="s">
        <v>7</v>
      </c>
      <c r="G5" s="243" t="s">
        <v>7</v>
      </c>
      <c r="H5" s="68"/>
      <c r="I5" s="68"/>
      <c r="J5" s="230"/>
      <c r="K5" s="13"/>
      <c r="L5" s="234"/>
      <c r="M5" s="30"/>
      <c r="N5" s="89"/>
    </row>
    <row r="6" spans="1:21" x14ac:dyDescent="0.3">
      <c r="A6" s="13"/>
      <c r="B6" s="67" t="s">
        <v>141</v>
      </c>
      <c r="C6" s="68" t="s">
        <v>142</v>
      </c>
      <c r="D6" s="235">
        <f>36*50</f>
        <v>1800</v>
      </c>
      <c r="E6" s="235"/>
      <c r="F6" s="235">
        <f t="shared" ref="F6:G6" si="0">36*50</f>
        <v>1800</v>
      </c>
      <c r="G6" s="235">
        <f t="shared" si="0"/>
        <v>1800</v>
      </c>
      <c r="H6" s="242" t="s">
        <v>68</v>
      </c>
      <c r="I6" s="68"/>
      <c r="J6" s="230"/>
      <c r="K6" s="13"/>
      <c r="L6" s="234"/>
      <c r="N6" s="11"/>
    </row>
    <row r="7" spans="1:21" x14ac:dyDescent="0.3">
      <c r="A7" s="13"/>
      <c r="B7" s="67" t="s">
        <v>143</v>
      </c>
      <c r="C7" s="68"/>
      <c r="D7" s="235"/>
      <c r="E7" s="235"/>
      <c r="F7" s="237"/>
      <c r="G7" s="236"/>
      <c r="H7" s="68"/>
      <c r="I7" s="68"/>
      <c r="J7" s="230"/>
      <c r="K7" s="13"/>
      <c r="L7" s="13"/>
      <c r="N7" s="11"/>
    </row>
    <row r="8" spans="1:21" ht="33" x14ac:dyDescent="0.3">
      <c r="A8" s="13"/>
      <c r="B8" s="67" t="s">
        <v>144</v>
      </c>
      <c r="C8" s="28" t="s">
        <v>145</v>
      </c>
      <c r="D8" s="236">
        <f>12*50</f>
        <v>600</v>
      </c>
      <c r="E8" s="279">
        <v>1</v>
      </c>
      <c r="F8" s="236">
        <f>13.44*50</f>
        <v>672</v>
      </c>
      <c r="G8" s="236">
        <f>13.44*50</f>
        <v>672</v>
      </c>
      <c r="H8" s="282" t="s">
        <v>146</v>
      </c>
      <c r="I8" s="67"/>
      <c r="J8" s="41"/>
      <c r="K8" s="13"/>
      <c r="L8" s="13"/>
      <c r="N8" s="11"/>
    </row>
    <row r="9" spans="1:21" ht="42" customHeight="1" x14ac:dyDescent="0.3">
      <c r="A9" s="13"/>
      <c r="B9" s="231" t="s">
        <v>147</v>
      </c>
      <c r="C9" s="28" t="s">
        <v>148</v>
      </c>
      <c r="D9" s="238">
        <f>9*50</f>
        <v>450</v>
      </c>
      <c r="E9" s="280"/>
      <c r="F9" s="238">
        <f>10.08*50</f>
        <v>504</v>
      </c>
      <c r="G9" s="238">
        <f>10.08*50</f>
        <v>504</v>
      </c>
      <c r="H9" s="283"/>
      <c r="I9" s="231"/>
      <c r="J9" s="233"/>
      <c r="K9" s="13"/>
      <c r="L9" s="13"/>
      <c r="N9" s="11"/>
    </row>
    <row r="10" spans="1:21" x14ac:dyDescent="0.3">
      <c r="A10" s="13"/>
      <c r="B10" s="231" t="s">
        <v>149</v>
      </c>
      <c r="C10" s="240" t="s">
        <v>150</v>
      </c>
      <c r="D10" s="238">
        <f>11*50</f>
        <v>550</v>
      </c>
      <c r="E10" s="281"/>
      <c r="F10" s="238">
        <f t="shared" ref="F10:G10" si="1">11*50</f>
        <v>550</v>
      </c>
      <c r="G10" s="238">
        <f t="shared" si="1"/>
        <v>550</v>
      </c>
      <c r="H10" s="284"/>
      <c r="I10" s="231"/>
      <c r="J10" s="233"/>
      <c r="K10" s="13"/>
      <c r="L10" s="13"/>
      <c r="N10" s="11"/>
    </row>
    <row r="11" spans="1:21" x14ac:dyDescent="0.3">
      <c r="A11" s="13"/>
      <c r="B11" s="231" t="s">
        <v>123</v>
      </c>
      <c r="C11" s="231"/>
      <c r="D11" s="238">
        <v>18</v>
      </c>
      <c r="E11" s="238"/>
      <c r="F11" s="238">
        <v>18</v>
      </c>
      <c r="G11" s="238">
        <v>18</v>
      </c>
      <c r="H11" s="245" t="s">
        <v>151</v>
      </c>
      <c r="I11" s="231"/>
      <c r="J11" s="233"/>
      <c r="K11" s="13"/>
      <c r="L11" s="13"/>
      <c r="N11" s="11"/>
    </row>
    <row r="12" spans="1:21" x14ac:dyDescent="0.3">
      <c r="A12" s="13"/>
      <c r="B12" s="231"/>
      <c r="C12" s="231" t="s">
        <v>152</v>
      </c>
      <c r="D12" s="238">
        <f>SUM(D8:D11)</f>
        <v>1618</v>
      </c>
      <c r="E12" s="238"/>
      <c r="F12" s="238">
        <f t="shared" ref="F12:G12" si="2">SUM(F8:F11)</f>
        <v>1744</v>
      </c>
      <c r="G12" s="238">
        <f t="shared" si="2"/>
        <v>1744</v>
      </c>
      <c r="H12" s="232"/>
      <c r="I12" s="231"/>
      <c r="J12" s="233"/>
      <c r="K12" s="13"/>
      <c r="L12" s="13"/>
      <c r="N12" s="11"/>
    </row>
    <row r="13" spans="1:21" x14ac:dyDescent="0.3">
      <c r="A13" s="13"/>
      <c r="B13" s="231"/>
      <c r="C13" s="231" t="s">
        <v>153</v>
      </c>
      <c r="D13" s="238">
        <f>D6-D12</f>
        <v>182</v>
      </c>
      <c r="E13" s="238"/>
      <c r="F13" s="238">
        <f t="shared" ref="F13:G13" si="3">F6-F12</f>
        <v>56</v>
      </c>
      <c r="G13" s="238">
        <f t="shared" si="3"/>
        <v>56</v>
      </c>
      <c r="H13" s="245" t="s">
        <v>151</v>
      </c>
      <c r="I13" s="231"/>
      <c r="J13" s="233"/>
      <c r="K13" s="13"/>
      <c r="L13" s="13"/>
      <c r="N13" s="11"/>
    </row>
    <row r="14" spans="1:21" x14ac:dyDescent="0.3">
      <c r="A14" s="13"/>
      <c r="B14" s="71"/>
      <c r="C14" s="71"/>
      <c r="D14" s="239"/>
      <c r="E14" s="239"/>
      <c r="F14" s="239"/>
      <c r="G14" s="239"/>
      <c r="H14" s="71"/>
      <c r="I14" s="72"/>
      <c r="J14" s="73"/>
      <c r="K14" s="13"/>
      <c r="L14" s="13"/>
      <c r="N14" s="11"/>
    </row>
    <row r="15" spans="1:21" x14ac:dyDescent="0.3">
      <c r="A15" s="13"/>
      <c r="B15" s="276" t="s">
        <v>131</v>
      </c>
      <c r="C15" s="277"/>
      <c r="D15" s="277"/>
      <c r="E15" s="277"/>
      <c r="F15" s="277"/>
      <c r="G15" s="277"/>
      <c r="H15" s="277"/>
      <c r="I15" s="277"/>
      <c r="J15" s="277"/>
      <c r="K15" s="13"/>
      <c r="L15" s="13"/>
      <c r="N15" s="11"/>
    </row>
    <row r="16" spans="1:21" x14ac:dyDescent="0.3">
      <c r="A16" s="13"/>
      <c r="B16" s="67"/>
      <c r="C16" s="68"/>
      <c r="D16" s="243" t="s">
        <v>7</v>
      </c>
      <c r="E16" s="56"/>
      <c r="F16" s="243" t="s">
        <v>7</v>
      </c>
      <c r="G16" s="243" t="s">
        <v>7</v>
      </c>
      <c r="H16" s="74"/>
      <c r="I16" s="74"/>
      <c r="J16" s="75"/>
      <c r="K16" s="76"/>
      <c r="L16" s="13"/>
      <c r="N16" s="11"/>
    </row>
    <row r="17" spans="1:14" x14ac:dyDescent="0.3">
      <c r="A17" s="13"/>
      <c r="B17" s="67" t="s">
        <v>141</v>
      </c>
      <c r="C17" s="68" t="s">
        <v>154</v>
      </c>
      <c r="D17" s="235">
        <f>36*54</f>
        <v>1944</v>
      </c>
      <c r="E17" s="235"/>
      <c r="F17" s="235">
        <f t="shared" ref="F17:G17" si="4">36*54</f>
        <v>1944</v>
      </c>
      <c r="G17" s="235">
        <f t="shared" si="4"/>
        <v>1944</v>
      </c>
      <c r="H17" s="245" t="s">
        <v>155</v>
      </c>
      <c r="I17" s="66"/>
      <c r="J17" s="28"/>
      <c r="K17" s="64"/>
      <c r="L17" s="13"/>
      <c r="N17" s="11"/>
    </row>
    <row r="18" spans="1:14" x14ac:dyDescent="0.3">
      <c r="A18" s="13"/>
      <c r="B18" s="67" t="s">
        <v>143</v>
      </c>
      <c r="C18" s="68"/>
      <c r="D18" s="235"/>
      <c r="E18" s="235"/>
      <c r="F18" s="237"/>
      <c r="G18" s="236"/>
      <c r="H18" s="68"/>
      <c r="I18" s="68"/>
      <c r="J18" s="197"/>
      <c r="K18" s="78"/>
      <c r="L18" s="13"/>
      <c r="N18" s="11"/>
    </row>
    <row r="19" spans="1:14" ht="33" x14ac:dyDescent="0.3">
      <c r="A19" s="13"/>
      <c r="B19" s="67" t="s">
        <v>144</v>
      </c>
      <c r="C19" s="28" t="s">
        <v>156</v>
      </c>
      <c r="D19" s="236">
        <f>12*54</f>
        <v>648</v>
      </c>
      <c r="E19" s="279">
        <v>1</v>
      </c>
      <c r="F19" s="236">
        <f>13.44*54</f>
        <v>725.76</v>
      </c>
      <c r="G19" s="236">
        <f>13.44*54</f>
        <v>725.76</v>
      </c>
      <c r="H19" s="282" t="s">
        <v>146</v>
      </c>
      <c r="I19" s="68"/>
      <c r="J19" s="197"/>
      <c r="K19" s="64"/>
      <c r="L19" s="13"/>
      <c r="N19" s="11"/>
    </row>
    <row r="20" spans="1:14" ht="33" x14ac:dyDescent="0.3">
      <c r="A20" s="13"/>
      <c r="B20" s="231" t="s">
        <v>147</v>
      </c>
      <c r="C20" s="28" t="s">
        <v>157</v>
      </c>
      <c r="D20" s="238">
        <f>7*54</f>
        <v>378</v>
      </c>
      <c r="E20" s="280"/>
      <c r="F20" s="238">
        <f>7.84*54</f>
        <v>423.36</v>
      </c>
      <c r="G20" s="238">
        <f>7.84*54</f>
        <v>423.36</v>
      </c>
      <c r="H20" s="283"/>
      <c r="I20" s="68"/>
      <c r="J20" s="197"/>
      <c r="K20" s="78"/>
      <c r="L20" s="13"/>
      <c r="N20" s="11"/>
    </row>
    <row r="21" spans="1:14" ht="33" x14ac:dyDescent="0.3">
      <c r="A21" s="13"/>
      <c r="B21" s="231" t="s">
        <v>149</v>
      </c>
      <c r="C21" s="240" t="s">
        <v>158</v>
      </c>
      <c r="D21" s="238">
        <f>6*54</f>
        <v>324</v>
      </c>
      <c r="E21" s="281"/>
      <c r="F21" s="238">
        <f t="shared" ref="F21:G21" si="5">6*54</f>
        <v>324</v>
      </c>
      <c r="G21" s="238">
        <f t="shared" si="5"/>
        <v>324</v>
      </c>
      <c r="H21" s="284"/>
      <c r="I21" s="67"/>
      <c r="J21" s="41"/>
      <c r="K21" s="80"/>
      <c r="L21" s="13"/>
      <c r="N21" s="11"/>
    </row>
    <row r="22" spans="1:14" x14ac:dyDescent="0.3">
      <c r="A22" s="13"/>
      <c r="B22" s="231" t="s">
        <v>123</v>
      </c>
      <c r="C22" s="231"/>
      <c r="D22" s="238">
        <v>3</v>
      </c>
      <c r="E22" s="238"/>
      <c r="F22" s="238">
        <v>4</v>
      </c>
      <c r="G22" s="238">
        <v>5</v>
      </c>
      <c r="H22" s="245" t="s">
        <v>151</v>
      </c>
      <c r="I22" s="3"/>
      <c r="J22" s="81"/>
      <c r="K22" s="13"/>
      <c r="L22" s="13"/>
      <c r="N22" s="11"/>
    </row>
    <row r="23" spans="1:14" x14ac:dyDescent="0.3">
      <c r="A23" s="13"/>
      <c r="B23" s="231"/>
      <c r="C23" s="231" t="s">
        <v>152</v>
      </c>
      <c r="D23" s="238">
        <f>SUM(D19:D22)</f>
        <v>1353</v>
      </c>
      <c r="E23" s="238"/>
      <c r="F23" s="238">
        <f t="shared" ref="F23" si="6">SUM(F19:F22)</f>
        <v>1477.12</v>
      </c>
      <c r="G23" s="238">
        <f t="shared" ref="G23" si="7">SUM(G19:G22)</f>
        <v>1478.12</v>
      </c>
      <c r="H23" s="246"/>
      <c r="I23" s="2"/>
      <c r="J23" s="82"/>
      <c r="K23" s="13"/>
      <c r="L23" s="13"/>
      <c r="N23" s="11"/>
    </row>
    <row r="24" spans="1:14" x14ac:dyDescent="0.3">
      <c r="A24" s="14"/>
      <c r="B24" s="231"/>
      <c r="C24" s="231" t="s">
        <v>153</v>
      </c>
      <c r="D24" s="241">
        <f>D17-D23</f>
        <v>591</v>
      </c>
      <c r="E24" s="241"/>
      <c r="F24" s="241">
        <f t="shared" ref="F24" si="8">F17-F23</f>
        <v>466.88000000000011</v>
      </c>
      <c r="G24" s="241">
        <f t="shared" ref="G24" si="9">G17-G23</f>
        <v>465.88000000000011</v>
      </c>
      <c r="H24" s="245" t="s">
        <v>151</v>
      </c>
      <c r="I24" s="2"/>
      <c r="J24" s="2"/>
      <c r="K24" s="14"/>
      <c r="L24" s="14"/>
      <c r="N24" s="11"/>
    </row>
  </sheetData>
  <mergeCells count="7">
    <mergeCell ref="H19:H21"/>
    <mergeCell ref="E19:E21"/>
    <mergeCell ref="B1:J1"/>
    <mergeCell ref="B3:J3"/>
    <mergeCell ref="B15:J15"/>
    <mergeCell ref="E8:E10"/>
    <mergeCell ref="H8:H10"/>
  </mergeCells>
  <pageMargins left="0.7" right="0.7" top="0.75" bottom="0.75" header="0.3" footer="0.3"/>
  <pageSetup paperSize="9" scale="6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B4289-9F9B-4D28-8AC1-4118EFD0B9C6}">
  <sheetPr>
    <pageSetUpPr fitToPage="1"/>
  </sheetPr>
  <dimension ref="A1:L24"/>
  <sheetViews>
    <sheetView workbookViewId="0">
      <selection activeCell="G3" sqref="G3"/>
    </sheetView>
  </sheetViews>
  <sheetFormatPr defaultColWidth="8.7109375" defaultRowHeight="16.5" x14ac:dyDescent="0.3"/>
  <cols>
    <col min="1" max="1" width="9.85546875" style="1" customWidth="1"/>
    <col min="2" max="2" width="8.28515625" style="1" customWidth="1"/>
    <col min="3" max="3" width="12.7109375" style="1" customWidth="1"/>
    <col min="4" max="4" width="8.5703125" style="1" customWidth="1"/>
    <col min="5" max="5" width="7.85546875" style="1" customWidth="1"/>
    <col min="6" max="6" width="12.28515625" style="1" customWidth="1"/>
    <col min="7" max="7" width="17.28515625" style="1" customWidth="1"/>
    <col min="8" max="8" width="11.28515625" style="1" customWidth="1"/>
    <col min="9" max="9" width="13" style="1" customWidth="1"/>
    <col min="10" max="10" width="11.42578125" style="1" customWidth="1"/>
    <col min="11" max="11" width="8.7109375" style="1"/>
    <col min="12" max="12" width="10.140625" style="1" customWidth="1"/>
    <col min="13" max="16384" width="8.7109375" style="1"/>
  </cols>
  <sheetData>
    <row r="1" spans="1:12" ht="33" x14ac:dyDescent="0.3">
      <c r="A1" s="20" t="s">
        <v>0</v>
      </c>
      <c r="B1" s="250" t="s">
        <v>1</v>
      </c>
      <c r="C1" s="272"/>
      <c r="D1" s="272"/>
      <c r="E1" s="272"/>
      <c r="F1" s="272"/>
      <c r="G1" s="248"/>
      <c r="H1" s="153" t="s">
        <v>2</v>
      </c>
      <c r="I1" s="250" t="s">
        <v>3</v>
      </c>
      <c r="J1" s="272"/>
      <c r="K1" s="272"/>
      <c r="L1" s="248"/>
    </row>
    <row r="2" spans="1:12" x14ac:dyDescent="0.3">
      <c r="A2" s="13" t="s">
        <v>118</v>
      </c>
      <c r="B2" s="291" t="s">
        <v>159</v>
      </c>
      <c r="C2" s="291"/>
      <c r="D2" s="149"/>
      <c r="E2" s="149"/>
      <c r="F2" s="149"/>
      <c r="G2" s="150"/>
      <c r="H2" s="151"/>
      <c r="I2" s="10"/>
      <c r="L2" s="11"/>
    </row>
    <row r="3" spans="1:12" x14ac:dyDescent="0.3">
      <c r="A3" s="13" t="s">
        <v>65</v>
      </c>
      <c r="B3" s="21"/>
      <c r="C3" s="21"/>
      <c r="D3" s="21"/>
      <c r="E3" s="21"/>
      <c r="F3" s="21"/>
      <c r="G3" s="57"/>
      <c r="H3" s="140">
        <v>5</v>
      </c>
      <c r="I3" s="10"/>
      <c r="L3" s="11"/>
    </row>
    <row r="4" spans="1:12" ht="49.5" x14ac:dyDescent="0.3">
      <c r="A4" s="13"/>
      <c r="B4" s="87" t="s">
        <v>160</v>
      </c>
      <c r="C4" s="28" t="s">
        <v>124</v>
      </c>
      <c r="D4" s="47"/>
      <c r="E4" s="62" t="s">
        <v>161</v>
      </c>
      <c r="F4" s="28" t="s">
        <v>162</v>
      </c>
      <c r="G4" s="47"/>
      <c r="H4" s="45"/>
      <c r="I4" s="88"/>
      <c r="J4" s="30"/>
      <c r="K4" s="30"/>
      <c r="L4" s="89"/>
    </row>
    <row r="5" spans="1:12" x14ac:dyDescent="0.3">
      <c r="A5" s="13"/>
      <c r="B5" s="87">
        <v>1</v>
      </c>
      <c r="C5" s="24">
        <v>182000</v>
      </c>
      <c r="D5" s="47"/>
      <c r="E5" s="62">
        <v>0.90100000000000002</v>
      </c>
      <c r="F5" s="24">
        <f>C5*E5</f>
        <v>163982</v>
      </c>
      <c r="G5" s="292" t="s">
        <v>163</v>
      </c>
      <c r="H5" s="11"/>
      <c r="I5" s="88"/>
      <c r="J5" s="30"/>
      <c r="K5" s="30"/>
      <c r="L5" s="89"/>
    </row>
    <row r="6" spans="1:12" x14ac:dyDescent="0.3">
      <c r="A6" s="13"/>
      <c r="B6" s="87">
        <v>2</v>
      </c>
      <c r="C6" s="24">
        <v>56000</v>
      </c>
      <c r="D6" s="47"/>
      <c r="E6" s="62">
        <v>0.81200000000000006</v>
      </c>
      <c r="F6" s="24">
        <f t="shared" ref="F6:F7" si="0">C6*E6</f>
        <v>45472</v>
      </c>
      <c r="G6" s="293"/>
      <c r="H6" s="11"/>
      <c r="I6" s="10"/>
      <c r="L6" s="11"/>
    </row>
    <row r="7" spans="1:12" x14ac:dyDescent="0.3">
      <c r="A7" s="13"/>
      <c r="B7" s="87">
        <v>3</v>
      </c>
      <c r="C7" s="24">
        <v>56000</v>
      </c>
      <c r="D7" s="47"/>
      <c r="E7" s="62">
        <v>0.73099999999999998</v>
      </c>
      <c r="F7" s="24">
        <f t="shared" si="0"/>
        <v>40936</v>
      </c>
      <c r="G7" s="294"/>
      <c r="H7" s="11"/>
      <c r="I7" s="10"/>
      <c r="L7" s="11"/>
    </row>
    <row r="8" spans="1:12" x14ac:dyDescent="0.3">
      <c r="A8" s="13"/>
      <c r="B8" s="87"/>
      <c r="C8" s="28"/>
      <c r="D8" s="47"/>
      <c r="E8" s="62"/>
      <c r="F8" s="39">
        <f>SUM(F5:F7)</f>
        <v>250390</v>
      </c>
      <c r="G8" s="182" t="s">
        <v>68</v>
      </c>
      <c r="H8" s="11"/>
      <c r="I8" s="10"/>
      <c r="L8" s="11"/>
    </row>
    <row r="9" spans="1:12" x14ac:dyDescent="0.3">
      <c r="A9" s="13"/>
      <c r="B9" s="59"/>
      <c r="C9" s="71"/>
      <c r="D9" s="71"/>
      <c r="E9" s="71"/>
      <c r="F9" s="71"/>
      <c r="G9" s="71"/>
      <c r="H9" s="13"/>
      <c r="I9" s="10"/>
      <c r="L9" s="11"/>
    </row>
    <row r="10" spans="1:12" x14ac:dyDescent="0.3">
      <c r="A10" s="13"/>
      <c r="B10" s="86" t="s">
        <v>164</v>
      </c>
      <c r="C10" s="86"/>
      <c r="D10" s="86"/>
      <c r="E10" s="86"/>
      <c r="F10" s="86"/>
      <c r="G10" s="86"/>
      <c r="H10" s="13"/>
      <c r="I10" s="10"/>
      <c r="L10" s="11"/>
    </row>
    <row r="11" spans="1:12" ht="49.5" x14ac:dyDescent="0.3">
      <c r="A11" s="13"/>
      <c r="B11" s="87" t="s">
        <v>160</v>
      </c>
      <c r="C11" s="28" t="s">
        <v>124</v>
      </c>
      <c r="D11" s="47"/>
      <c r="E11" s="62" t="s">
        <v>165</v>
      </c>
      <c r="F11" s="28" t="s">
        <v>162</v>
      </c>
      <c r="G11" s="28"/>
      <c r="H11" s="78"/>
      <c r="I11" s="10"/>
      <c r="L11" s="11"/>
    </row>
    <row r="12" spans="1:12" x14ac:dyDescent="0.3">
      <c r="A12" s="13"/>
      <c r="B12" s="87">
        <v>0</v>
      </c>
      <c r="C12" s="179">
        <v>-1485000</v>
      </c>
      <c r="D12" s="182" t="s">
        <v>10</v>
      </c>
      <c r="E12" s="62">
        <v>1</v>
      </c>
      <c r="F12" s="179">
        <f>C12*E12</f>
        <v>-1485000</v>
      </c>
      <c r="G12" s="295" t="s">
        <v>163</v>
      </c>
      <c r="H12" s="64"/>
      <c r="I12" s="10"/>
      <c r="L12" s="11"/>
    </row>
    <row r="13" spans="1:12" x14ac:dyDescent="0.3">
      <c r="A13" s="13"/>
      <c r="B13" s="87">
        <v>1</v>
      </c>
      <c r="C13" s="24">
        <v>591000</v>
      </c>
      <c r="D13" s="47"/>
      <c r="E13" s="62">
        <v>0.90100000000000002</v>
      </c>
      <c r="F13" s="24">
        <f t="shared" ref="F13:F15" si="1">C13*E13</f>
        <v>532491</v>
      </c>
      <c r="G13" s="295"/>
      <c r="H13" s="78"/>
      <c r="L13" s="11"/>
    </row>
    <row r="14" spans="1:12" x14ac:dyDescent="0.3">
      <c r="A14" s="13"/>
      <c r="B14" s="87">
        <v>2</v>
      </c>
      <c r="C14" s="24">
        <v>466880</v>
      </c>
      <c r="D14" s="47"/>
      <c r="E14" s="62">
        <v>0.81200000000000006</v>
      </c>
      <c r="F14" s="24">
        <f t="shared" si="1"/>
        <v>379106.56</v>
      </c>
      <c r="G14" s="295"/>
      <c r="H14" s="64"/>
      <c r="I14" s="10"/>
      <c r="L14" s="11"/>
    </row>
    <row r="15" spans="1:12" x14ac:dyDescent="0.3">
      <c r="A15" s="13"/>
      <c r="B15" s="87">
        <v>3</v>
      </c>
      <c r="C15" s="24">
        <v>1074880</v>
      </c>
      <c r="D15" s="182" t="s">
        <v>10</v>
      </c>
      <c r="E15" s="62">
        <v>0.73099999999999998</v>
      </c>
      <c r="F15" s="24">
        <f t="shared" si="1"/>
        <v>785737.28</v>
      </c>
      <c r="G15" s="295"/>
      <c r="H15" s="78"/>
      <c r="I15" s="10"/>
      <c r="L15" s="11"/>
    </row>
    <row r="16" spans="1:12" x14ac:dyDescent="0.3">
      <c r="A16" s="13"/>
      <c r="B16" s="87"/>
      <c r="C16" s="47"/>
      <c r="D16" s="47"/>
      <c r="E16" s="47"/>
      <c r="F16" s="39">
        <f>SUM(F12:F15)</f>
        <v>212334.84000000008</v>
      </c>
      <c r="G16" s="182" t="s">
        <v>166</v>
      </c>
      <c r="H16" s="64"/>
      <c r="I16" s="247" t="s">
        <v>167</v>
      </c>
      <c r="L16" s="11"/>
    </row>
    <row r="17" spans="1:12" x14ac:dyDescent="0.3">
      <c r="A17" s="14"/>
      <c r="B17" s="2"/>
      <c r="C17" s="7"/>
      <c r="D17" s="7"/>
      <c r="E17" s="7"/>
      <c r="F17" s="7"/>
      <c r="G17" s="7"/>
      <c r="H17" s="13"/>
      <c r="I17" s="10"/>
      <c r="L17" s="11"/>
    </row>
    <row r="18" spans="1:12" x14ac:dyDescent="0.3">
      <c r="A18" s="47" t="s">
        <v>73</v>
      </c>
      <c r="B18" s="296" t="s">
        <v>168</v>
      </c>
      <c r="C18" s="297"/>
      <c r="D18" s="297"/>
      <c r="E18" s="297"/>
      <c r="F18" s="297"/>
      <c r="G18" s="298"/>
      <c r="H18" s="36">
        <v>1</v>
      </c>
      <c r="I18" s="296" t="s">
        <v>169</v>
      </c>
      <c r="J18" s="297"/>
      <c r="K18" s="297"/>
      <c r="L18" s="298"/>
    </row>
    <row r="19" spans="1:12" x14ac:dyDescent="0.3">
      <c r="A19" s="90" t="s">
        <v>170</v>
      </c>
      <c r="B19" s="30" t="s">
        <v>171</v>
      </c>
      <c r="C19" s="30"/>
      <c r="D19" s="30"/>
      <c r="E19" s="30"/>
      <c r="F19" s="30"/>
      <c r="G19" s="30"/>
      <c r="H19" s="91">
        <v>4</v>
      </c>
      <c r="I19" s="92"/>
      <c r="J19" s="93"/>
      <c r="K19" s="18"/>
      <c r="L19" s="9"/>
    </row>
    <row r="20" spans="1:12" x14ac:dyDescent="0.3">
      <c r="A20" s="94"/>
      <c r="B20" s="287" t="s">
        <v>172</v>
      </c>
      <c r="C20" s="288"/>
      <c r="D20" s="288"/>
      <c r="E20" s="288"/>
      <c r="F20" s="288"/>
      <c r="G20" s="174">
        <v>0.18329999999999999</v>
      </c>
      <c r="H20" s="91"/>
      <c r="I20" s="63"/>
      <c r="L20" s="11"/>
    </row>
    <row r="21" spans="1:12" x14ac:dyDescent="0.3">
      <c r="A21" s="94"/>
      <c r="B21" s="289" t="s">
        <v>173</v>
      </c>
      <c r="C21" s="290"/>
      <c r="D21" s="290"/>
      <c r="E21" s="290"/>
      <c r="F21" s="290"/>
      <c r="G21" s="183" t="s">
        <v>10</v>
      </c>
      <c r="H21" s="96"/>
      <c r="I21" s="58"/>
      <c r="J21" s="6"/>
      <c r="K21" s="6"/>
      <c r="L21" s="19"/>
    </row>
    <row r="22" spans="1:12" x14ac:dyDescent="0.3">
      <c r="A22" s="90" t="s">
        <v>174</v>
      </c>
      <c r="B22" s="285" t="s">
        <v>175</v>
      </c>
      <c r="C22" s="285"/>
      <c r="D22" s="285"/>
      <c r="E22" s="285"/>
      <c r="F22" s="285"/>
      <c r="G22" s="286"/>
      <c r="H22" s="97">
        <v>1</v>
      </c>
      <c r="I22" s="98"/>
      <c r="J22" s="99"/>
      <c r="K22" s="18"/>
      <c r="L22" s="9"/>
    </row>
    <row r="23" spans="1:12" ht="30.75" customHeight="1" x14ac:dyDescent="0.3">
      <c r="A23" s="94"/>
      <c r="B23" s="266" t="s">
        <v>176</v>
      </c>
      <c r="C23" s="266"/>
      <c r="D23" s="266"/>
      <c r="E23" s="266"/>
      <c r="F23" s="266"/>
      <c r="G23" s="271"/>
      <c r="H23" s="94"/>
      <c r="I23" s="100"/>
      <c r="J23" s="30"/>
      <c r="L23" s="11"/>
    </row>
    <row r="24" spans="1:12" ht="32.25" customHeight="1" x14ac:dyDescent="0.3">
      <c r="A24" s="101"/>
      <c r="B24" s="260" t="s">
        <v>177</v>
      </c>
      <c r="C24" s="260"/>
      <c r="D24" s="260"/>
      <c r="E24" s="260"/>
      <c r="F24" s="260"/>
      <c r="G24" s="261"/>
      <c r="H24" s="101"/>
      <c r="I24" s="102"/>
      <c r="J24" s="103"/>
      <c r="K24" s="6"/>
      <c r="L24" s="19"/>
    </row>
  </sheetData>
  <mergeCells count="12">
    <mergeCell ref="I1:L1"/>
    <mergeCell ref="B2:C2"/>
    <mergeCell ref="G5:G7"/>
    <mergeCell ref="G12:G15"/>
    <mergeCell ref="B18:G18"/>
    <mergeCell ref="I18:L18"/>
    <mergeCell ref="B22:G22"/>
    <mergeCell ref="B23:G23"/>
    <mergeCell ref="B24:G24"/>
    <mergeCell ref="B1:G1"/>
    <mergeCell ref="B20:F20"/>
    <mergeCell ref="B21:F21"/>
  </mergeCells>
  <pageMargins left="0.7" right="0.7" top="0.75" bottom="0.75" header="0.3" footer="0.3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07B9C-4F72-4F73-93F8-39457DE046F6}">
  <sheetPr>
    <pageSetUpPr fitToPage="1"/>
  </sheetPr>
  <dimension ref="A1:L21"/>
  <sheetViews>
    <sheetView zoomScaleNormal="100" workbookViewId="0">
      <selection activeCell="B13" sqref="B13"/>
    </sheetView>
  </sheetViews>
  <sheetFormatPr defaultColWidth="8.7109375" defaultRowHeight="16.5" x14ac:dyDescent="0.3"/>
  <cols>
    <col min="1" max="1" width="9.85546875" style="1" customWidth="1"/>
    <col min="2" max="2" width="49" style="1" customWidth="1"/>
    <col min="3" max="4" width="8.7109375" style="1"/>
    <col min="5" max="5" width="12" style="1" customWidth="1"/>
    <col min="6" max="6" width="4.85546875" style="1" customWidth="1"/>
    <col min="7" max="7" width="14" style="201" customWidth="1"/>
    <col min="8" max="8" width="8.42578125" style="1" customWidth="1"/>
    <col min="9" max="9" width="8.7109375" style="1"/>
    <col min="10" max="10" width="11.42578125" style="1" customWidth="1"/>
    <col min="11" max="11" width="8.7109375" style="1"/>
    <col min="12" max="12" width="10.140625" style="1" customWidth="1"/>
    <col min="13" max="16384" width="8.7109375" style="1"/>
  </cols>
  <sheetData>
    <row r="1" spans="1:12" ht="28.5" customHeight="1" x14ac:dyDescent="0.3">
      <c r="A1" s="20" t="s">
        <v>0</v>
      </c>
      <c r="B1" s="250" t="s">
        <v>1</v>
      </c>
      <c r="C1" s="272"/>
      <c r="D1" s="272"/>
      <c r="E1" s="272"/>
      <c r="F1" s="272"/>
      <c r="G1" s="248"/>
      <c r="H1" s="153" t="s">
        <v>2</v>
      </c>
      <c r="I1" s="250" t="s">
        <v>3</v>
      </c>
      <c r="J1" s="272"/>
      <c r="K1" s="272"/>
      <c r="L1" s="248"/>
    </row>
    <row r="2" spans="1:12" x14ac:dyDescent="0.3">
      <c r="A2" s="13" t="s">
        <v>178</v>
      </c>
      <c r="B2" s="8" t="s">
        <v>179</v>
      </c>
      <c r="H2" s="15"/>
      <c r="I2" s="10"/>
      <c r="L2" s="11"/>
    </row>
    <row r="3" spans="1:12" x14ac:dyDescent="0.3">
      <c r="A3" s="13" t="s">
        <v>180</v>
      </c>
      <c r="H3" s="140">
        <v>9</v>
      </c>
      <c r="I3" s="10"/>
      <c r="L3" s="11"/>
    </row>
    <row r="4" spans="1:12" x14ac:dyDescent="0.3">
      <c r="A4" s="13"/>
      <c r="B4" s="104" t="s">
        <v>181</v>
      </c>
      <c r="C4" s="2"/>
      <c r="D4" s="2"/>
      <c r="E4" s="2"/>
      <c r="F4" s="111"/>
      <c r="G4" s="202" t="s">
        <v>8</v>
      </c>
      <c r="H4" s="140"/>
      <c r="I4" s="10"/>
      <c r="L4" s="11"/>
    </row>
    <row r="5" spans="1:12" x14ac:dyDescent="0.3">
      <c r="A5" s="13"/>
      <c r="B5" s="104"/>
      <c r="C5" s="2" t="s">
        <v>182</v>
      </c>
      <c r="D5" s="2" t="s">
        <v>183</v>
      </c>
      <c r="E5" s="2" t="s">
        <v>184</v>
      </c>
      <c r="F5" s="111"/>
      <c r="G5" s="203"/>
      <c r="H5" s="13"/>
      <c r="I5" s="10"/>
      <c r="L5" s="11"/>
    </row>
    <row r="6" spans="1:12" x14ac:dyDescent="0.3">
      <c r="A6" s="13"/>
      <c r="B6" s="104" t="s">
        <v>112</v>
      </c>
      <c r="C6" s="3">
        <v>400000</v>
      </c>
      <c r="D6" s="2"/>
      <c r="E6" s="3">
        <f>C6</f>
        <v>400000</v>
      </c>
      <c r="F6" s="184" t="s">
        <v>185</v>
      </c>
      <c r="G6" s="187" t="s">
        <v>68</v>
      </c>
      <c r="H6" s="13"/>
      <c r="I6" s="10"/>
      <c r="L6" s="11"/>
    </row>
    <row r="7" spans="1:12" x14ac:dyDescent="0.3">
      <c r="A7" s="13"/>
      <c r="B7" s="104" t="s">
        <v>186</v>
      </c>
      <c r="C7" s="3">
        <v>25000</v>
      </c>
      <c r="D7" s="2"/>
      <c r="E7" s="3">
        <f t="shared" ref="E7:E21" si="0">E6+C7-D7</f>
        <v>425000</v>
      </c>
      <c r="F7" s="184" t="s">
        <v>185</v>
      </c>
      <c r="G7" s="187" t="s">
        <v>68</v>
      </c>
      <c r="H7" s="13"/>
      <c r="I7" s="10"/>
      <c r="L7" s="11"/>
    </row>
    <row r="8" spans="1:12" x14ac:dyDescent="0.3">
      <c r="A8" s="13"/>
      <c r="B8" s="104" t="s">
        <v>187</v>
      </c>
      <c r="C8" s="3">
        <v>75000</v>
      </c>
      <c r="D8" s="2"/>
      <c r="E8" s="3">
        <f t="shared" si="0"/>
        <v>500000</v>
      </c>
      <c r="F8" s="184" t="s">
        <v>185</v>
      </c>
      <c r="G8" s="187" t="s">
        <v>68</v>
      </c>
      <c r="H8" s="13"/>
      <c r="I8" s="10"/>
      <c r="L8" s="11"/>
    </row>
    <row r="9" spans="1:12" x14ac:dyDescent="0.3">
      <c r="A9" s="13"/>
      <c r="B9" s="104" t="s">
        <v>81</v>
      </c>
      <c r="C9" s="3">
        <v>15000</v>
      </c>
      <c r="D9" s="2"/>
      <c r="E9" s="3">
        <f t="shared" si="0"/>
        <v>515000</v>
      </c>
      <c r="F9" s="184" t="s">
        <v>185</v>
      </c>
      <c r="G9" s="187" t="s">
        <v>68</v>
      </c>
      <c r="H9" s="13"/>
      <c r="I9" s="10"/>
      <c r="L9" s="11"/>
    </row>
    <row r="10" spans="1:12" x14ac:dyDescent="0.3">
      <c r="A10" s="13"/>
      <c r="B10" s="104" t="s">
        <v>80</v>
      </c>
      <c r="C10" s="3">
        <v>5000</v>
      </c>
      <c r="D10" s="2"/>
      <c r="E10" s="3">
        <f t="shared" si="0"/>
        <v>520000</v>
      </c>
      <c r="F10" s="184" t="s">
        <v>185</v>
      </c>
      <c r="G10" s="187" t="s">
        <v>188</v>
      </c>
      <c r="H10" s="13"/>
      <c r="I10" s="10"/>
      <c r="L10" s="11"/>
    </row>
    <row r="11" spans="1:12" x14ac:dyDescent="0.3">
      <c r="A11" s="13"/>
      <c r="B11" s="104" t="s">
        <v>189</v>
      </c>
      <c r="C11" s="2"/>
      <c r="D11" s="3">
        <v>320000</v>
      </c>
      <c r="E11" s="3">
        <f t="shared" si="0"/>
        <v>200000</v>
      </c>
      <c r="F11" s="184" t="s">
        <v>185</v>
      </c>
      <c r="G11" s="187" t="s">
        <v>10</v>
      </c>
      <c r="H11" s="13"/>
      <c r="I11" s="10"/>
      <c r="L11" s="11"/>
    </row>
    <row r="12" spans="1:12" x14ac:dyDescent="0.3">
      <c r="A12" s="13"/>
      <c r="B12" s="104" t="s">
        <v>190</v>
      </c>
      <c r="C12" s="2"/>
      <c r="D12" s="3">
        <v>22000</v>
      </c>
      <c r="E12" s="3">
        <f t="shared" si="0"/>
        <v>178000</v>
      </c>
      <c r="F12" s="184" t="s">
        <v>185</v>
      </c>
      <c r="G12" s="187" t="s">
        <v>191</v>
      </c>
      <c r="H12" s="13"/>
      <c r="I12" s="10"/>
      <c r="L12" s="11"/>
    </row>
    <row r="13" spans="1:12" x14ac:dyDescent="0.3">
      <c r="A13" s="13"/>
      <c r="B13" s="104" t="s">
        <v>192</v>
      </c>
      <c r="C13" s="2"/>
      <c r="D13" s="3">
        <v>65000</v>
      </c>
      <c r="E13" s="3">
        <f t="shared" si="0"/>
        <v>113000</v>
      </c>
      <c r="F13" s="184" t="s">
        <v>185</v>
      </c>
      <c r="G13" s="187" t="s">
        <v>191</v>
      </c>
      <c r="H13" s="13"/>
      <c r="I13" s="10"/>
      <c r="L13" s="11"/>
    </row>
    <row r="14" spans="1:12" x14ac:dyDescent="0.3">
      <c r="A14" s="13"/>
      <c r="B14" s="105" t="s">
        <v>193</v>
      </c>
      <c r="C14" s="2"/>
      <c r="D14" s="3">
        <v>1500</v>
      </c>
      <c r="E14" s="3">
        <f t="shared" si="0"/>
        <v>111500</v>
      </c>
      <c r="F14" s="184" t="s">
        <v>185</v>
      </c>
      <c r="G14" s="187" t="s">
        <v>10</v>
      </c>
      <c r="H14" s="13"/>
      <c r="I14" s="10"/>
      <c r="L14" s="11"/>
    </row>
    <row r="15" spans="1:12" x14ac:dyDescent="0.3">
      <c r="A15" s="13"/>
      <c r="B15" s="104" t="s">
        <v>194</v>
      </c>
      <c r="C15" s="2"/>
      <c r="D15" s="3">
        <v>5000</v>
      </c>
      <c r="E15" s="3">
        <f t="shared" si="0"/>
        <v>106500</v>
      </c>
      <c r="F15" s="184" t="s">
        <v>185</v>
      </c>
      <c r="G15" s="187" t="s">
        <v>10</v>
      </c>
      <c r="H15" s="13"/>
      <c r="I15" s="10"/>
      <c r="L15" s="11"/>
    </row>
    <row r="16" spans="1:12" x14ac:dyDescent="0.3">
      <c r="A16" s="13"/>
      <c r="B16" s="104" t="s">
        <v>195</v>
      </c>
      <c r="C16" s="2"/>
      <c r="D16" s="3">
        <v>3800</v>
      </c>
      <c r="E16" s="3">
        <f t="shared" si="0"/>
        <v>102700</v>
      </c>
      <c r="F16" s="184" t="s">
        <v>185</v>
      </c>
      <c r="G16" s="187" t="s">
        <v>196</v>
      </c>
      <c r="H16" s="13"/>
      <c r="I16" s="10"/>
      <c r="L16" s="11"/>
    </row>
    <row r="17" spans="1:12" x14ac:dyDescent="0.3">
      <c r="A17" s="13"/>
      <c r="B17" s="104" t="s">
        <v>81</v>
      </c>
      <c r="C17" s="2"/>
      <c r="D17" s="3">
        <v>12000</v>
      </c>
      <c r="E17" s="3">
        <f t="shared" si="0"/>
        <v>90700</v>
      </c>
      <c r="F17" s="184" t="s">
        <v>185</v>
      </c>
      <c r="G17" s="187" t="s">
        <v>10</v>
      </c>
      <c r="H17" s="13"/>
      <c r="I17" s="299" t="s">
        <v>197</v>
      </c>
      <c r="J17" s="300"/>
      <c r="K17" s="300"/>
      <c r="L17" s="301"/>
    </row>
    <row r="18" spans="1:12" x14ac:dyDescent="0.3">
      <c r="A18" s="13"/>
      <c r="B18" s="104" t="s">
        <v>198</v>
      </c>
      <c r="C18" s="2"/>
      <c r="D18" s="2">
        <v>400</v>
      </c>
      <c r="E18" s="3">
        <f t="shared" si="0"/>
        <v>90300</v>
      </c>
      <c r="F18" s="184" t="s">
        <v>185</v>
      </c>
      <c r="G18" s="187" t="s">
        <v>10</v>
      </c>
      <c r="H18" s="13"/>
      <c r="I18" s="299"/>
      <c r="J18" s="300"/>
      <c r="K18" s="300"/>
      <c r="L18" s="301"/>
    </row>
    <row r="19" spans="1:12" ht="16.5" customHeight="1" x14ac:dyDescent="0.3">
      <c r="A19" s="13"/>
      <c r="B19" s="104" t="s">
        <v>199</v>
      </c>
      <c r="C19" s="2">
        <v>800</v>
      </c>
      <c r="D19" s="2"/>
      <c r="E19" s="3">
        <f t="shared" si="0"/>
        <v>91100</v>
      </c>
      <c r="F19" s="184" t="s">
        <v>185</v>
      </c>
      <c r="G19" s="187" t="s">
        <v>10</v>
      </c>
      <c r="H19" s="13"/>
      <c r="I19" s="299"/>
      <c r="J19" s="300"/>
      <c r="K19" s="300"/>
      <c r="L19" s="301"/>
    </row>
    <row r="20" spans="1:12" x14ac:dyDescent="0.3">
      <c r="A20" s="13"/>
      <c r="B20" s="104" t="s">
        <v>200</v>
      </c>
      <c r="C20" s="2"/>
      <c r="D20" s="3">
        <v>63770</v>
      </c>
      <c r="E20" s="3">
        <f t="shared" si="0"/>
        <v>27330</v>
      </c>
      <c r="F20" s="184" t="s">
        <v>185</v>
      </c>
      <c r="G20" s="187" t="s">
        <v>201</v>
      </c>
      <c r="H20" s="13"/>
      <c r="I20" s="299"/>
      <c r="J20" s="300"/>
      <c r="K20" s="300"/>
      <c r="L20" s="301"/>
    </row>
    <row r="21" spans="1:12" x14ac:dyDescent="0.3">
      <c r="A21" s="14"/>
      <c r="B21" s="104" t="s">
        <v>202</v>
      </c>
      <c r="C21" s="2"/>
      <c r="D21" s="3">
        <v>27330</v>
      </c>
      <c r="E21" s="3">
        <f t="shared" si="0"/>
        <v>0</v>
      </c>
      <c r="F21" s="184"/>
      <c r="G21" s="187" t="s">
        <v>203</v>
      </c>
      <c r="H21" s="14"/>
      <c r="I21" s="302"/>
      <c r="J21" s="303"/>
      <c r="K21" s="303"/>
      <c r="L21" s="304"/>
    </row>
  </sheetData>
  <mergeCells count="3">
    <mergeCell ref="B1:G1"/>
    <mergeCell ref="I1:L1"/>
    <mergeCell ref="I17:L21"/>
  </mergeCells>
  <pageMargins left="0.7" right="0.7" top="0.75" bottom="0.75" header="0.3" footer="0.3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5E058-BFF5-478C-917E-FA37F7C7EA55}">
  <sheetPr>
    <pageSetUpPr fitToPage="1"/>
  </sheetPr>
  <dimension ref="A1:O20"/>
  <sheetViews>
    <sheetView zoomScale="90" zoomScaleNormal="90" workbookViewId="0">
      <selection activeCell="I10" sqref="I10"/>
    </sheetView>
  </sheetViews>
  <sheetFormatPr defaultColWidth="8.7109375" defaultRowHeight="16.5" x14ac:dyDescent="0.3"/>
  <cols>
    <col min="1" max="1" width="9.85546875" style="1" customWidth="1"/>
    <col min="2" max="2" width="31.7109375" style="1" customWidth="1"/>
    <col min="3" max="4" width="8.7109375" style="1"/>
    <col min="5" max="5" width="12" style="1" customWidth="1"/>
    <col min="6" max="6" width="4.85546875" style="1" customWidth="1"/>
    <col min="7" max="7" width="20.85546875" style="4" customWidth="1"/>
    <col min="8" max="9" width="8.7109375" style="1"/>
    <col min="10" max="10" width="11.42578125" style="1" customWidth="1"/>
    <col min="11" max="11" width="8.7109375" style="1" customWidth="1"/>
    <col min="12" max="12" width="10.140625" style="1" customWidth="1"/>
    <col min="13" max="14" width="8.7109375" style="1" customWidth="1"/>
    <col min="15" max="15" width="8.28515625" style="1" customWidth="1"/>
    <col min="16" max="16384" width="8.7109375" style="1"/>
  </cols>
  <sheetData>
    <row r="1" spans="1:15" ht="33" x14ac:dyDescent="0.3">
      <c r="A1" s="20" t="s">
        <v>0</v>
      </c>
      <c r="B1" s="250" t="s">
        <v>1</v>
      </c>
      <c r="C1" s="272"/>
      <c r="D1" s="272"/>
      <c r="E1" s="272"/>
      <c r="F1" s="272"/>
      <c r="G1" s="248"/>
      <c r="H1" s="153" t="s">
        <v>2</v>
      </c>
      <c r="I1" s="250" t="s">
        <v>3</v>
      </c>
      <c r="J1" s="272"/>
      <c r="K1" s="272"/>
      <c r="L1" s="272"/>
      <c r="M1" s="272"/>
      <c r="N1" s="272"/>
      <c r="O1" s="248"/>
    </row>
    <row r="2" spans="1:15" x14ac:dyDescent="0.3">
      <c r="A2" s="13" t="s">
        <v>178</v>
      </c>
      <c r="G2" s="107"/>
      <c r="H2" s="141"/>
      <c r="I2" s="10"/>
      <c r="O2" s="11"/>
    </row>
    <row r="3" spans="1:15" x14ac:dyDescent="0.3">
      <c r="A3" s="13" t="s">
        <v>204</v>
      </c>
      <c r="B3" s="104" t="s">
        <v>205</v>
      </c>
      <c r="C3" s="2"/>
      <c r="D3" s="2"/>
      <c r="E3" s="2"/>
      <c r="F3" s="2"/>
      <c r="G3" s="169" t="s">
        <v>8</v>
      </c>
      <c r="H3" s="140">
        <v>6</v>
      </c>
      <c r="I3" s="10"/>
      <c r="O3" s="11"/>
    </row>
    <row r="4" spans="1:15" x14ac:dyDescent="0.3">
      <c r="A4" s="13"/>
      <c r="B4" s="104"/>
      <c r="C4" s="2" t="s">
        <v>206</v>
      </c>
      <c r="D4" s="2" t="s">
        <v>207</v>
      </c>
      <c r="E4" s="2" t="s">
        <v>208</v>
      </c>
      <c r="F4" s="2"/>
      <c r="G4" s="84"/>
      <c r="H4" s="13"/>
      <c r="I4" s="10"/>
      <c r="O4" s="11"/>
    </row>
    <row r="5" spans="1:15" x14ac:dyDescent="0.3">
      <c r="A5" s="13"/>
      <c r="B5" s="104" t="s">
        <v>209</v>
      </c>
      <c r="C5" s="2"/>
      <c r="D5" s="3">
        <v>259000</v>
      </c>
      <c r="E5" s="179">
        <f>C5-D5</f>
        <v>-259000</v>
      </c>
      <c r="F5" s="3" t="s">
        <v>210</v>
      </c>
      <c r="G5" s="204" t="s">
        <v>68</v>
      </c>
      <c r="H5" s="13"/>
      <c r="I5" s="10"/>
      <c r="O5" s="11"/>
    </row>
    <row r="6" spans="1:15" x14ac:dyDescent="0.3">
      <c r="A6" s="13"/>
      <c r="B6" s="104" t="s">
        <v>211</v>
      </c>
      <c r="C6" s="2"/>
      <c r="D6" s="3">
        <v>62500</v>
      </c>
      <c r="E6" s="179">
        <f>E5+C6-D6</f>
        <v>-321500</v>
      </c>
      <c r="F6" s="3" t="s">
        <v>210</v>
      </c>
      <c r="G6" s="204" t="s">
        <v>68</v>
      </c>
      <c r="H6" s="13"/>
      <c r="I6" s="10"/>
      <c r="O6" s="11"/>
    </row>
    <row r="7" spans="1:15" x14ac:dyDescent="0.3">
      <c r="A7" s="13"/>
      <c r="B7" s="104" t="s">
        <v>212</v>
      </c>
      <c r="C7" s="3">
        <v>320000</v>
      </c>
      <c r="D7" s="2"/>
      <c r="E7" s="179">
        <f t="shared" ref="E7:E9" si="0">E6+C7-D7</f>
        <v>-1500</v>
      </c>
      <c r="F7" s="3" t="s">
        <v>210</v>
      </c>
      <c r="G7" s="205" t="s">
        <v>10</v>
      </c>
      <c r="H7" s="13"/>
      <c r="I7" s="10"/>
      <c r="O7" s="11"/>
    </row>
    <row r="8" spans="1:15" x14ac:dyDescent="0.3">
      <c r="A8" s="13"/>
      <c r="B8" s="104" t="s">
        <v>213</v>
      </c>
      <c r="C8" s="3">
        <v>63770</v>
      </c>
      <c r="D8" s="2"/>
      <c r="E8" s="179">
        <f t="shared" si="0"/>
        <v>62270</v>
      </c>
      <c r="F8" s="3" t="s">
        <v>185</v>
      </c>
      <c r="G8" s="204" t="s">
        <v>191</v>
      </c>
      <c r="H8" s="13"/>
      <c r="I8" s="10"/>
      <c r="O8" s="11"/>
    </row>
    <row r="9" spans="1:15" x14ac:dyDescent="0.3">
      <c r="A9" s="13"/>
      <c r="B9" s="104" t="s">
        <v>83</v>
      </c>
      <c r="C9" s="2"/>
      <c r="D9" s="3">
        <v>62270</v>
      </c>
      <c r="E9" s="3">
        <f t="shared" si="0"/>
        <v>0</v>
      </c>
      <c r="F9" s="3"/>
      <c r="G9" s="205" t="s">
        <v>10</v>
      </c>
      <c r="H9" s="13"/>
      <c r="I9" s="10"/>
      <c r="O9" s="11"/>
    </row>
    <row r="10" spans="1:15" x14ac:dyDescent="0.3">
      <c r="A10" s="13"/>
      <c r="G10" s="206"/>
      <c r="H10" s="13"/>
      <c r="I10" s="10"/>
      <c r="O10" s="11"/>
    </row>
    <row r="11" spans="1:15" x14ac:dyDescent="0.3">
      <c r="A11" s="13"/>
      <c r="G11" s="206"/>
      <c r="H11" s="13"/>
      <c r="I11" s="10"/>
      <c r="O11" s="11"/>
    </row>
    <row r="12" spans="1:15" x14ac:dyDescent="0.3">
      <c r="A12" s="13"/>
      <c r="B12" s="104" t="s">
        <v>214</v>
      </c>
      <c r="C12" s="2"/>
      <c r="D12" s="2"/>
      <c r="E12" s="2"/>
      <c r="F12" s="2"/>
      <c r="G12" s="204"/>
      <c r="H12" s="13"/>
      <c r="I12" s="10"/>
      <c r="O12" s="11"/>
    </row>
    <row r="13" spans="1:15" x14ac:dyDescent="0.3">
      <c r="A13" s="13"/>
      <c r="B13" s="104"/>
      <c r="C13" s="2" t="s">
        <v>206</v>
      </c>
      <c r="D13" s="2" t="s">
        <v>207</v>
      </c>
      <c r="E13" s="2" t="s">
        <v>208</v>
      </c>
      <c r="F13" s="2"/>
      <c r="G13" s="204"/>
      <c r="H13" s="13"/>
      <c r="I13" s="10"/>
      <c r="O13" s="11"/>
    </row>
    <row r="14" spans="1:15" x14ac:dyDescent="0.3">
      <c r="A14" s="13"/>
      <c r="B14" s="104" t="s">
        <v>209</v>
      </c>
      <c r="C14" s="2"/>
      <c r="D14" s="3">
        <v>111000</v>
      </c>
      <c r="E14" s="179">
        <f>C14-D14</f>
        <v>-111000</v>
      </c>
      <c r="F14" s="3" t="s">
        <v>210</v>
      </c>
      <c r="G14" s="204" t="s">
        <v>68</v>
      </c>
      <c r="H14" s="13"/>
      <c r="I14" s="10"/>
      <c r="O14" s="11"/>
    </row>
    <row r="15" spans="1:15" x14ac:dyDescent="0.3">
      <c r="A15" s="13"/>
      <c r="B15" s="104" t="s">
        <v>211</v>
      </c>
      <c r="C15" s="2"/>
      <c r="D15" s="3">
        <v>50000</v>
      </c>
      <c r="E15" s="179">
        <f>E14+C15-D15</f>
        <v>-161000</v>
      </c>
      <c r="F15" s="3" t="s">
        <v>210</v>
      </c>
      <c r="G15" s="204" t="s">
        <v>215</v>
      </c>
      <c r="H15" s="13"/>
      <c r="I15" s="10"/>
      <c r="O15" s="11"/>
    </row>
    <row r="16" spans="1:15" x14ac:dyDescent="0.3">
      <c r="A16" s="13"/>
      <c r="B16" s="104" t="s">
        <v>216</v>
      </c>
      <c r="C16" s="3">
        <v>22000</v>
      </c>
      <c r="D16" s="2"/>
      <c r="E16" s="179">
        <f t="shared" ref="E16:E19" si="1">E15+C16-D16</f>
        <v>-139000</v>
      </c>
      <c r="F16" s="3" t="s">
        <v>210</v>
      </c>
      <c r="G16" s="204" t="s">
        <v>217</v>
      </c>
      <c r="H16" s="13"/>
      <c r="I16" s="10"/>
      <c r="O16" s="11"/>
    </row>
    <row r="17" spans="1:15" x14ac:dyDescent="0.3">
      <c r="A17" s="13"/>
      <c r="B17" s="104" t="s">
        <v>218</v>
      </c>
      <c r="C17" s="3">
        <v>65000</v>
      </c>
      <c r="D17" s="2"/>
      <c r="E17" s="179">
        <f t="shared" si="1"/>
        <v>-74000</v>
      </c>
      <c r="F17" s="3" t="s">
        <v>210</v>
      </c>
      <c r="G17" s="204" t="s">
        <v>219</v>
      </c>
      <c r="H17" s="13"/>
      <c r="I17" s="10"/>
      <c r="O17" s="11"/>
    </row>
    <row r="18" spans="1:15" x14ac:dyDescent="0.3">
      <c r="A18" s="13"/>
      <c r="B18" s="104" t="s">
        <v>213</v>
      </c>
      <c r="C18" s="3">
        <v>27330</v>
      </c>
      <c r="D18" s="2"/>
      <c r="E18" s="179">
        <f t="shared" si="1"/>
        <v>-46670</v>
      </c>
      <c r="F18" s="3" t="s">
        <v>210</v>
      </c>
      <c r="G18" s="204" t="s">
        <v>220</v>
      </c>
      <c r="H18" s="13"/>
      <c r="I18" s="10"/>
      <c r="O18" s="11"/>
    </row>
    <row r="19" spans="1:15" x14ac:dyDescent="0.3">
      <c r="A19" s="13"/>
      <c r="B19" s="104" t="s">
        <v>83</v>
      </c>
      <c r="C19" s="3">
        <v>46670</v>
      </c>
      <c r="D19" s="3"/>
      <c r="E19" s="179">
        <f t="shared" si="1"/>
        <v>0</v>
      </c>
      <c r="F19" s="3"/>
      <c r="G19" s="205" t="s">
        <v>10</v>
      </c>
      <c r="H19" s="13"/>
      <c r="I19" s="10"/>
      <c r="O19" s="11"/>
    </row>
    <row r="20" spans="1:15" x14ac:dyDescent="0.3">
      <c r="A20" s="14"/>
      <c r="B20" s="6"/>
      <c r="C20" s="6"/>
      <c r="D20" s="6"/>
      <c r="E20" s="6"/>
      <c r="F20" s="6"/>
      <c r="G20" s="108"/>
      <c r="H20" s="14"/>
      <c r="I20" s="12"/>
      <c r="J20" s="6"/>
      <c r="K20" s="6"/>
      <c r="L20" s="6"/>
      <c r="M20" s="6"/>
      <c r="N20" s="6"/>
      <c r="O20" s="19"/>
    </row>
  </sheetData>
  <mergeCells count="2">
    <mergeCell ref="B1:G1"/>
    <mergeCell ref="I1:O1"/>
  </mergeCells>
  <pageMargins left="0.7" right="0.7" top="0.75" bottom="0.75" header="0.3" footer="0.3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9574-D693-4789-A200-C022541320E1}">
  <dimension ref="A1:K15"/>
  <sheetViews>
    <sheetView workbookViewId="0">
      <selection activeCell="I10" sqref="I10"/>
    </sheetView>
  </sheetViews>
  <sheetFormatPr defaultColWidth="8.7109375" defaultRowHeight="16.5" x14ac:dyDescent="0.3"/>
  <cols>
    <col min="1" max="1" width="9.85546875" style="1" customWidth="1"/>
    <col min="2" max="2" width="35.42578125" style="1" customWidth="1"/>
    <col min="3" max="4" width="8.7109375" style="1"/>
    <col min="5" max="5" width="12" style="1" customWidth="1"/>
    <col min="6" max="6" width="2.85546875" style="1" customWidth="1"/>
    <col min="7" max="7" width="15" style="4" customWidth="1"/>
    <col min="8" max="8" width="8.7109375" style="147"/>
    <col min="9" max="16384" width="8.7109375" style="1"/>
  </cols>
  <sheetData>
    <row r="1" spans="1:11" ht="33" x14ac:dyDescent="0.3">
      <c r="A1" s="20" t="s">
        <v>0</v>
      </c>
      <c r="B1" s="250" t="s">
        <v>1</v>
      </c>
      <c r="C1" s="272"/>
      <c r="D1" s="272"/>
      <c r="E1" s="272"/>
      <c r="F1" s="272"/>
      <c r="G1" s="248"/>
      <c r="H1" s="153" t="s">
        <v>2</v>
      </c>
      <c r="I1" s="250" t="s">
        <v>3</v>
      </c>
      <c r="J1" s="272"/>
      <c r="K1" s="248"/>
    </row>
    <row r="2" spans="1:11" x14ac:dyDescent="0.3">
      <c r="A2" s="13" t="s">
        <v>178</v>
      </c>
      <c r="B2" s="10"/>
      <c r="G2" s="107"/>
      <c r="H2" s="141"/>
      <c r="I2" s="10"/>
      <c r="K2" s="11"/>
    </row>
    <row r="3" spans="1:11" x14ac:dyDescent="0.3">
      <c r="A3" s="13" t="s">
        <v>221</v>
      </c>
      <c r="B3" s="2" t="s">
        <v>222</v>
      </c>
      <c r="C3" s="2"/>
      <c r="D3" s="2"/>
      <c r="E3" s="2"/>
      <c r="F3" s="2"/>
      <c r="G3" s="84" t="s">
        <v>8</v>
      </c>
      <c r="H3" s="140">
        <v>5</v>
      </c>
      <c r="I3" s="10"/>
      <c r="K3" s="11"/>
    </row>
    <row r="4" spans="1:11" x14ac:dyDescent="0.3">
      <c r="A4" s="13"/>
      <c r="B4" s="2"/>
      <c r="C4" s="2" t="s">
        <v>182</v>
      </c>
      <c r="D4" s="2" t="s">
        <v>183</v>
      </c>
      <c r="E4" s="2" t="s">
        <v>184</v>
      </c>
      <c r="F4" s="2"/>
      <c r="G4" s="84"/>
      <c r="H4" s="141"/>
      <c r="I4" s="10"/>
      <c r="K4" s="11"/>
    </row>
    <row r="5" spans="1:11" x14ac:dyDescent="0.3">
      <c r="A5" s="13"/>
      <c r="B5" s="2" t="s">
        <v>209</v>
      </c>
      <c r="C5" s="3"/>
      <c r="D5" s="3">
        <v>15000</v>
      </c>
      <c r="E5" s="179">
        <f>C5-D5</f>
        <v>-15000</v>
      </c>
      <c r="F5" s="3" t="s">
        <v>210</v>
      </c>
      <c r="G5" s="204" t="s">
        <v>68</v>
      </c>
      <c r="H5" s="141"/>
      <c r="I5" s="10"/>
      <c r="K5" s="11"/>
    </row>
    <row r="6" spans="1:11" x14ac:dyDescent="0.3">
      <c r="A6" s="13"/>
      <c r="B6" s="2" t="s">
        <v>223</v>
      </c>
      <c r="C6" s="3">
        <v>1500</v>
      </c>
      <c r="D6" s="2"/>
      <c r="E6" s="179">
        <f>E5+C6-D6</f>
        <v>-13500</v>
      </c>
      <c r="F6" s="3" t="s">
        <v>210</v>
      </c>
      <c r="G6" s="204" t="s">
        <v>68</v>
      </c>
      <c r="H6" s="141"/>
      <c r="I6" s="10"/>
      <c r="K6" s="11"/>
    </row>
    <row r="7" spans="1:11" x14ac:dyDescent="0.3">
      <c r="A7" s="13"/>
      <c r="B7" s="2" t="s">
        <v>224</v>
      </c>
      <c r="C7" s="3">
        <v>5000</v>
      </c>
      <c r="D7" s="2"/>
      <c r="E7" s="179">
        <f t="shared" ref="E7:E14" si="0">E6+C7-D7</f>
        <v>-8500</v>
      </c>
      <c r="F7" s="3" t="s">
        <v>210</v>
      </c>
      <c r="G7" s="204" t="s">
        <v>68</v>
      </c>
      <c r="H7" s="141"/>
      <c r="I7" s="10"/>
      <c r="K7" s="11"/>
    </row>
    <row r="8" spans="1:11" x14ac:dyDescent="0.3">
      <c r="A8" s="13"/>
      <c r="B8" s="2" t="s">
        <v>225</v>
      </c>
      <c r="C8" s="3">
        <v>3800</v>
      </c>
      <c r="D8" s="2"/>
      <c r="E8" s="179">
        <f t="shared" si="0"/>
        <v>-4700</v>
      </c>
      <c r="F8" s="3" t="s">
        <v>210</v>
      </c>
      <c r="G8" s="204" t="s">
        <v>188</v>
      </c>
      <c r="H8" s="141"/>
      <c r="I8" s="10"/>
      <c r="K8" s="11"/>
    </row>
    <row r="9" spans="1:11" x14ac:dyDescent="0.3">
      <c r="A9" s="13"/>
      <c r="B9" s="2" t="s">
        <v>226</v>
      </c>
      <c r="C9" s="2"/>
      <c r="D9" s="3">
        <v>15000</v>
      </c>
      <c r="E9" s="179">
        <f t="shared" si="0"/>
        <v>-19700</v>
      </c>
      <c r="F9" s="3" t="s">
        <v>210</v>
      </c>
      <c r="G9" s="204" t="s">
        <v>201</v>
      </c>
      <c r="H9" s="141"/>
      <c r="I9" s="10"/>
      <c r="K9" s="11"/>
    </row>
    <row r="10" spans="1:11" x14ac:dyDescent="0.3">
      <c r="A10" s="13"/>
      <c r="B10" s="2" t="s">
        <v>81</v>
      </c>
      <c r="C10" s="3">
        <v>12000</v>
      </c>
      <c r="D10" s="3"/>
      <c r="E10" s="179">
        <f t="shared" si="0"/>
        <v>-7700</v>
      </c>
      <c r="F10" s="3" t="s">
        <v>210</v>
      </c>
      <c r="G10" s="204" t="s">
        <v>191</v>
      </c>
      <c r="H10" s="141"/>
      <c r="I10" s="10"/>
      <c r="K10" s="11"/>
    </row>
    <row r="11" spans="1:11" x14ac:dyDescent="0.3">
      <c r="A11" s="13"/>
      <c r="B11" s="2" t="s">
        <v>227</v>
      </c>
      <c r="C11" s="2"/>
      <c r="D11" s="3">
        <v>7100</v>
      </c>
      <c r="E11" s="179">
        <f t="shared" si="0"/>
        <v>-14800</v>
      </c>
      <c r="F11" s="3" t="s">
        <v>210</v>
      </c>
      <c r="G11" s="204" t="s">
        <v>220</v>
      </c>
      <c r="H11" s="141"/>
      <c r="I11" s="10"/>
      <c r="K11" s="11"/>
    </row>
    <row r="12" spans="1:11" x14ac:dyDescent="0.3">
      <c r="A12" s="13"/>
      <c r="B12" s="2" t="s">
        <v>199</v>
      </c>
      <c r="C12" s="2"/>
      <c r="D12" s="2">
        <v>800</v>
      </c>
      <c r="E12" s="179">
        <f t="shared" si="0"/>
        <v>-15600</v>
      </c>
      <c r="F12" s="3" t="s">
        <v>210</v>
      </c>
      <c r="G12" s="204" t="s">
        <v>203</v>
      </c>
      <c r="H12" s="141"/>
      <c r="I12" s="10"/>
      <c r="K12" s="11"/>
    </row>
    <row r="13" spans="1:11" x14ac:dyDescent="0.3">
      <c r="A13" s="13"/>
      <c r="B13" s="2" t="s">
        <v>228</v>
      </c>
      <c r="C13" s="3">
        <v>62270</v>
      </c>
      <c r="D13" s="2"/>
      <c r="E13" s="179">
        <f t="shared" si="0"/>
        <v>46670</v>
      </c>
      <c r="F13" s="3" t="s">
        <v>185</v>
      </c>
      <c r="G13" s="205" t="s">
        <v>10</v>
      </c>
      <c r="H13" s="141"/>
      <c r="I13" s="10"/>
      <c r="K13" s="11"/>
    </row>
    <row r="14" spans="1:11" x14ac:dyDescent="0.3">
      <c r="A14" s="13"/>
      <c r="B14" s="2" t="s">
        <v>229</v>
      </c>
      <c r="C14" s="3"/>
      <c r="D14" s="3">
        <v>46670</v>
      </c>
      <c r="E14" s="3">
        <f t="shared" si="0"/>
        <v>0</v>
      </c>
      <c r="F14" s="3"/>
      <c r="G14" s="205" t="s">
        <v>10</v>
      </c>
      <c r="H14" s="141"/>
      <c r="I14" s="10"/>
      <c r="K14" s="11"/>
    </row>
    <row r="15" spans="1:11" x14ac:dyDescent="0.3">
      <c r="A15" s="14"/>
      <c r="B15" s="12"/>
      <c r="C15" s="6"/>
      <c r="D15" s="6"/>
      <c r="E15" s="6"/>
      <c r="F15" s="6"/>
      <c r="G15" s="108"/>
      <c r="H15" s="142"/>
      <c r="I15" s="12"/>
      <c r="J15" s="6"/>
      <c r="K15" s="19"/>
    </row>
  </sheetData>
  <mergeCells count="2">
    <mergeCell ref="B1:G1"/>
    <mergeCell ref="I1:K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EBCB-E828-4632-8252-A67981E7FD15}">
  <sheetPr>
    <pageSetUpPr fitToPage="1"/>
  </sheetPr>
  <dimension ref="A1:J38"/>
  <sheetViews>
    <sheetView zoomScaleNormal="100" workbookViewId="0">
      <selection activeCell="I10" sqref="I10"/>
    </sheetView>
  </sheetViews>
  <sheetFormatPr defaultColWidth="8.7109375" defaultRowHeight="16.5" x14ac:dyDescent="0.3"/>
  <cols>
    <col min="1" max="1" width="10.42578125" style="1" customWidth="1"/>
    <col min="2" max="2" width="28.42578125" style="1" customWidth="1"/>
    <col min="3" max="3" width="17.85546875" style="1" customWidth="1"/>
    <col min="4" max="4" width="19.7109375" style="1" customWidth="1"/>
    <col min="5" max="5" width="17.42578125" style="1" customWidth="1"/>
    <col min="6" max="6" width="59.85546875" style="1" customWidth="1"/>
    <col min="7" max="7" width="8.7109375" style="147"/>
    <col min="8" max="16384" width="8.7109375" style="1"/>
  </cols>
  <sheetData>
    <row r="1" spans="1:10" ht="33" x14ac:dyDescent="0.3">
      <c r="A1" s="20" t="s">
        <v>0</v>
      </c>
      <c r="B1" s="248" t="s">
        <v>1</v>
      </c>
      <c r="C1" s="249"/>
      <c r="D1" s="249"/>
      <c r="E1" s="249"/>
      <c r="F1" s="250"/>
      <c r="G1" s="153" t="s">
        <v>2</v>
      </c>
      <c r="H1" s="249" t="s">
        <v>3</v>
      </c>
      <c r="I1" s="249"/>
      <c r="J1" s="249"/>
    </row>
    <row r="2" spans="1:10" x14ac:dyDescent="0.3">
      <c r="A2" s="172">
        <v>3</v>
      </c>
      <c r="B2" s="8" t="s">
        <v>230</v>
      </c>
      <c r="G2" s="143"/>
      <c r="H2" s="17"/>
      <c r="I2" s="18"/>
      <c r="J2" s="9"/>
    </row>
    <row r="3" spans="1:10" x14ac:dyDescent="0.3">
      <c r="A3" s="13" t="s">
        <v>5</v>
      </c>
      <c r="G3" s="140">
        <v>3</v>
      </c>
      <c r="H3" s="10"/>
      <c r="J3" s="11"/>
    </row>
    <row r="4" spans="1:10" x14ac:dyDescent="0.3">
      <c r="A4" s="10"/>
      <c r="B4" s="2"/>
      <c r="C4" s="2" t="s">
        <v>231</v>
      </c>
      <c r="D4" s="2" t="s">
        <v>232</v>
      </c>
      <c r="E4" s="2" t="s">
        <v>233</v>
      </c>
      <c r="F4" s="109" t="s">
        <v>8</v>
      </c>
      <c r="G4" s="140"/>
      <c r="H4" s="10"/>
      <c r="J4" s="11"/>
    </row>
    <row r="5" spans="1:10" x14ac:dyDescent="0.3">
      <c r="A5" s="10"/>
      <c r="B5" s="2" t="s">
        <v>234</v>
      </c>
      <c r="C5" s="2">
        <f>C8*10%</f>
        <v>800</v>
      </c>
      <c r="D5" s="3">
        <f>C9</f>
        <v>2800</v>
      </c>
      <c r="E5" s="3">
        <f>D9</f>
        <v>5800</v>
      </c>
      <c r="F5" s="207" t="s">
        <v>235</v>
      </c>
      <c r="G5" s="141"/>
      <c r="H5" s="10"/>
      <c r="J5" s="11"/>
    </row>
    <row r="6" spans="1:10" x14ac:dyDescent="0.3">
      <c r="A6" s="10"/>
      <c r="B6" s="2" t="s">
        <v>236</v>
      </c>
      <c r="C6" s="3">
        <v>10000</v>
      </c>
      <c r="D6" s="3">
        <v>8000</v>
      </c>
      <c r="E6" s="3">
        <v>8500</v>
      </c>
      <c r="F6" s="208"/>
      <c r="G6" s="141"/>
      <c r="H6" s="10"/>
      <c r="J6" s="11"/>
    </row>
    <row r="7" spans="1:10" x14ac:dyDescent="0.3">
      <c r="A7" s="10"/>
      <c r="B7" s="2"/>
      <c r="C7" s="3">
        <f>C5+C6</f>
        <v>10800</v>
      </c>
      <c r="D7" s="3">
        <f t="shared" ref="D7:E7" si="0">D5+D6</f>
        <v>10800</v>
      </c>
      <c r="E7" s="3">
        <f t="shared" si="0"/>
        <v>14300</v>
      </c>
      <c r="F7" s="208"/>
      <c r="G7" s="141"/>
      <c r="H7" s="10"/>
      <c r="J7" s="11"/>
    </row>
    <row r="8" spans="1:10" x14ac:dyDescent="0.3">
      <c r="A8" s="10"/>
      <c r="B8" s="2" t="s">
        <v>120</v>
      </c>
      <c r="C8" s="3">
        <v>8000</v>
      </c>
      <c r="D8" s="3">
        <v>5000</v>
      </c>
      <c r="E8" s="3">
        <v>6000</v>
      </c>
      <c r="F8" s="208"/>
      <c r="G8" s="141"/>
      <c r="H8" s="10"/>
      <c r="J8" s="11"/>
    </row>
    <row r="9" spans="1:10" x14ac:dyDescent="0.3">
      <c r="A9" s="10"/>
      <c r="B9" s="7" t="s">
        <v>237</v>
      </c>
      <c r="C9" s="3">
        <f>C7-C8</f>
        <v>2800</v>
      </c>
      <c r="D9" s="3">
        <f t="shared" ref="D9:E9" si="1">D7-D8</f>
        <v>5800</v>
      </c>
      <c r="E9" s="3">
        <f t="shared" si="1"/>
        <v>8300</v>
      </c>
      <c r="F9" s="216" t="s">
        <v>238</v>
      </c>
      <c r="G9" s="141"/>
      <c r="H9" s="10"/>
      <c r="J9" s="11"/>
    </row>
    <row r="10" spans="1:10" x14ac:dyDescent="0.3">
      <c r="A10" s="12"/>
      <c r="B10" s="111"/>
      <c r="C10" s="6"/>
      <c r="D10" s="6"/>
      <c r="E10" s="6"/>
      <c r="F10" s="210"/>
      <c r="G10" s="142"/>
      <c r="H10" s="12"/>
      <c r="I10" s="6"/>
      <c r="J10" s="19"/>
    </row>
    <row r="11" spans="1:10" x14ac:dyDescent="0.3">
      <c r="A11" s="13" t="s">
        <v>65</v>
      </c>
      <c r="B11" s="8" t="s">
        <v>239</v>
      </c>
      <c r="F11" s="8"/>
      <c r="G11" s="143"/>
      <c r="H11" s="17"/>
      <c r="I11" s="18"/>
      <c r="J11" s="9"/>
    </row>
    <row r="12" spans="1:10" x14ac:dyDescent="0.3">
      <c r="A12" s="13"/>
      <c r="B12" s="104" t="s">
        <v>120</v>
      </c>
      <c r="C12" s="110">
        <f>C8*(80/10)</f>
        <v>64000</v>
      </c>
      <c r="D12" s="110">
        <f>D8*(80/10)</f>
        <v>40000</v>
      </c>
      <c r="E12" s="110">
        <f>E8*(80/10)</f>
        <v>48000</v>
      </c>
      <c r="F12" s="207" t="s">
        <v>240</v>
      </c>
      <c r="G12" s="140">
        <v>12</v>
      </c>
      <c r="H12" s="10"/>
      <c r="J12" s="11"/>
    </row>
    <row r="13" spans="1:10" x14ac:dyDescent="0.3">
      <c r="A13" s="13"/>
      <c r="B13" s="104" t="s">
        <v>234</v>
      </c>
      <c r="C13" s="110">
        <f>C5*(2+1.2+0.8+0.4)</f>
        <v>3520.0000000000005</v>
      </c>
      <c r="D13" s="110">
        <f>D5*(2+1.2+0.8+0.4)</f>
        <v>12320.000000000002</v>
      </c>
      <c r="E13" s="110">
        <f>E5*(2+1.2+0.8+0.4)</f>
        <v>25520.000000000004</v>
      </c>
      <c r="F13" s="207" t="s">
        <v>191</v>
      </c>
      <c r="G13" s="141"/>
      <c r="H13" s="10"/>
      <c r="J13" s="11"/>
    </row>
    <row r="14" spans="1:10" x14ac:dyDescent="0.3">
      <c r="A14" s="13"/>
      <c r="B14" s="104" t="s">
        <v>241</v>
      </c>
      <c r="C14" s="110">
        <f>C6*2</f>
        <v>20000</v>
      </c>
      <c r="D14" s="110">
        <f>D6*2</f>
        <v>16000</v>
      </c>
      <c r="E14" s="110">
        <f>E6*2</f>
        <v>17000</v>
      </c>
      <c r="F14" s="207" t="s">
        <v>201</v>
      </c>
      <c r="G14" s="141"/>
      <c r="H14" s="10"/>
      <c r="J14" s="11"/>
    </row>
    <row r="15" spans="1:10" x14ac:dyDescent="0.3">
      <c r="A15" s="13"/>
      <c r="B15" s="104" t="s">
        <v>242</v>
      </c>
      <c r="C15" s="110">
        <f>C6*1.2</f>
        <v>12000</v>
      </c>
      <c r="D15" s="110">
        <f>D6*1.2</f>
        <v>9600</v>
      </c>
      <c r="E15" s="110">
        <f>E6*1.2</f>
        <v>10200</v>
      </c>
      <c r="F15" s="207" t="s">
        <v>201</v>
      </c>
      <c r="G15" s="141"/>
      <c r="H15" s="10"/>
      <c r="J15" s="11"/>
    </row>
    <row r="16" spans="1:10" x14ac:dyDescent="0.3">
      <c r="A16" s="13"/>
      <c r="B16" s="104" t="s">
        <v>243</v>
      </c>
      <c r="C16" s="110">
        <f>C6*0.8</f>
        <v>8000</v>
      </c>
      <c r="D16" s="110">
        <f>D6*0.8</f>
        <v>6400</v>
      </c>
      <c r="E16" s="110">
        <f>E6*0.8</f>
        <v>6800</v>
      </c>
      <c r="F16" s="207" t="s">
        <v>244</v>
      </c>
      <c r="G16" s="141"/>
      <c r="H16" s="10"/>
      <c r="J16" s="11"/>
    </row>
    <row r="17" spans="1:10" x14ac:dyDescent="0.3">
      <c r="A17" s="13"/>
      <c r="B17" s="104" t="s">
        <v>245</v>
      </c>
      <c r="C17" s="110">
        <f>C6*0.4</f>
        <v>4000</v>
      </c>
      <c r="D17" s="110">
        <f>D6*0.4</f>
        <v>3200</v>
      </c>
      <c r="E17" s="110">
        <f>E6*0.4</f>
        <v>3400</v>
      </c>
      <c r="F17" s="207" t="s">
        <v>246</v>
      </c>
      <c r="G17" s="141"/>
      <c r="H17" s="10"/>
      <c r="J17" s="11"/>
    </row>
    <row r="18" spans="1:10" x14ac:dyDescent="0.3">
      <c r="A18" s="13"/>
      <c r="B18" s="104" t="s">
        <v>237</v>
      </c>
      <c r="C18" s="110">
        <f>C9*(2+1.2+0.8+0.4)</f>
        <v>12320.000000000002</v>
      </c>
      <c r="D18" s="110">
        <f>D9*(2+1.2+0.8+0.4)</f>
        <v>25520.000000000004</v>
      </c>
      <c r="E18" s="110">
        <f>E9*(2+1.2+0.8+0.4)</f>
        <v>36520</v>
      </c>
      <c r="F18" s="207" t="s">
        <v>247</v>
      </c>
      <c r="G18" s="141"/>
      <c r="H18" s="10"/>
      <c r="J18" s="11"/>
    </row>
    <row r="19" spans="1:10" x14ac:dyDescent="0.3">
      <c r="A19" s="13"/>
      <c r="B19" s="104" t="s">
        <v>152</v>
      </c>
      <c r="C19" s="110">
        <f>SUM(C13:C17)-C18</f>
        <v>35200</v>
      </c>
      <c r="D19" s="110">
        <f>SUM(D13:D17)-D18</f>
        <v>21999.999999999996</v>
      </c>
      <c r="E19" s="110">
        <f>SUM(E13:E17)-E18</f>
        <v>26400</v>
      </c>
      <c r="F19" s="207"/>
      <c r="G19" s="141"/>
      <c r="H19" s="10"/>
      <c r="J19" s="11"/>
    </row>
    <row r="20" spans="1:10" x14ac:dyDescent="0.3">
      <c r="A20" s="13"/>
      <c r="B20" s="104" t="s">
        <v>248</v>
      </c>
      <c r="C20" s="110">
        <f>C12-C19</f>
        <v>28800</v>
      </c>
      <c r="D20" s="110">
        <f t="shared" ref="D20:E20" si="2">D12-D19</f>
        <v>18000.000000000004</v>
      </c>
      <c r="E20" s="110">
        <f t="shared" si="2"/>
        <v>21600</v>
      </c>
      <c r="F20" s="109"/>
      <c r="G20" s="141"/>
      <c r="H20" s="10"/>
      <c r="J20" s="11"/>
    </row>
    <row r="21" spans="1:10" x14ac:dyDescent="0.3">
      <c r="A21" s="13"/>
      <c r="B21" s="104" t="s">
        <v>249</v>
      </c>
      <c r="C21" s="185" t="s">
        <v>250</v>
      </c>
      <c r="D21" s="185" t="s">
        <v>250</v>
      </c>
      <c r="E21" s="185" t="s">
        <v>251</v>
      </c>
      <c r="F21" s="207" t="s">
        <v>252</v>
      </c>
      <c r="G21" s="141"/>
      <c r="H21" s="10"/>
      <c r="J21" s="11"/>
    </row>
    <row r="22" spans="1:10" x14ac:dyDescent="0.3">
      <c r="A22" s="13"/>
      <c r="B22" s="104"/>
      <c r="C22" s="186">
        <v>-200</v>
      </c>
      <c r="D22" s="186">
        <v>-800</v>
      </c>
      <c r="E22" s="112">
        <v>200</v>
      </c>
      <c r="F22" s="207" t="s">
        <v>252</v>
      </c>
      <c r="G22" s="141"/>
      <c r="H22" s="10"/>
      <c r="J22" s="11"/>
    </row>
    <row r="23" spans="1:10" x14ac:dyDescent="0.3">
      <c r="A23" s="13"/>
      <c r="B23" s="9" t="s">
        <v>248</v>
      </c>
      <c r="C23" s="110">
        <f>C20+C22</f>
        <v>28600</v>
      </c>
      <c r="D23" s="110">
        <f>D20+D22</f>
        <v>17200.000000000004</v>
      </c>
      <c r="E23" s="229">
        <f>E20+E22</f>
        <v>21800</v>
      </c>
      <c r="F23" s="209" t="s">
        <v>253</v>
      </c>
      <c r="G23" s="141"/>
      <c r="H23" s="10"/>
      <c r="J23" s="11"/>
    </row>
    <row r="24" spans="1:10" x14ac:dyDescent="0.3">
      <c r="A24" s="12"/>
      <c r="B24" s="175"/>
      <c r="C24" s="6"/>
      <c r="D24" s="6"/>
      <c r="E24" s="6"/>
      <c r="F24" s="109"/>
      <c r="G24" s="142"/>
      <c r="H24" s="12"/>
      <c r="I24" s="6"/>
      <c r="J24" s="19"/>
    </row>
    <row r="25" spans="1:10" x14ac:dyDescent="0.3">
      <c r="A25" s="17"/>
      <c r="B25" s="111"/>
      <c r="C25" s="18"/>
      <c r="D25" s="18"/>
      <c r="E25" s="18"/>
      <c r="F25" s="111"/>
      <c r="G25" s="143"/>
    </row>
    <row r="26" spans="1:10" x14ac:dyDescent="0.3">
      <c r="A26" s="13"/>
      <c r="B26" s="211" t="s">
        <v>254</v>
      </c>
      <c r="C26" s="2"/>
      <c r="D26" s="2"/>
      <c r="E26" s="2"/>
      <c r="F26" s="12"/>
      <c r="G26" s="141"/>
    </row>
    <row r="27" spans="1:10" x14ac:dyDescent="0.3">
      <c r="A27" s="13"/>
      <c r="B27" s="104" t="s">
        <v>255</v>
      </c>
      <c r="C27" s="3">
        <f>C8</f>
        <v>8000</v>
      </c>
      <c r="D27" s="3">
        <f>D8</f>
        <v>5000</v>
      </c>
      <c r="E27" s="3">
        <f>E8</f>
        <v>6000</v>
      </c>
      <c r="F27" s="111" t="s">
        <v>256</v>
      </c>
      <c r="G27" s="170"/>
    </row>
    <row r="28" spans="1:10" x14ac:dyDescent="0.3">
      <c r="A28" s="13"/>
      <c r="B28" s="104" t="s">
        <v>257</v>
      </c>
      <c r="C28" s="2">
        <f>C27/10</f>
        <v>800</v>
      </c>
      <c r="D28" s="2">
        <f t="shared" ref="D28:E28" si="3">D27/10</f>
        <v>500</v>
      </c>
      <c r="E28" s="2">
        <f t="shared" si="3"/>
        <v>600</v>
      </c>
      <c r="F28" s="111"/>
      <c r="G28" s="141"/>
    </row>
    <row r="29" spans="1:10" x14ac:dyDescent="0.3">
      <c r="A29" s="13"/>
      <c r="B29" s="104" t="s">
        <v>258</v>
      </c>
      <c r="C29" s="110">
        <f>C28*80</f>
        <v>64000</v>
      </c>
      <c r="D29" s="110">
        <f t="shared" ref="D29:E29" si="4">D28*80</f>
        <v>40000</v>
      </c>
      <c r="E29" s="110">
        <f t="shared" si="4"/>
        <v>48000</v>
      </c>
      <c r="F29" s="111"/>
      <c r="G29" s="141"/>
    </row>
    <row r="30" spans="1:10" x14ac:dyDescent="0.3">
      <c r="A30" s="13"/>
      <c r="G30" s="141"/>
    </row>
    <row r="31" spans="1:10" x14ac:dyDescent="0.3">
      <c r="A31" s="13"/>
      <c r="B31" s="104" t="s">
        <v>241</v>
      </c>
      <c r="C31" s="113">
        <v>2</v>
      </c>
      <c r="D31" s="2"/>
      <c r="G31" s="141"/>
    </row>
    <row r="32" spans="1:10" x14ac:dyDescent="0.3">
      <c r="A32" s="13"/>
      <c r="B32" s="104" t="s">
        <v>242</v>
      </c>
      <c r="C32" s="113">
        <v>1.2</v>
      </c>
      <c r="D32" s="2"/>
      <c r="G32" s="141"/>
    </row>
    <row r="33" spans="1:7" x14ac:dyDescent="0.3">
      <c r="A33" s="13"/>
      <c r="B33" s="104" t="s">
        <v>259</v>
      </c>
      <c r="C33" s="113">
        <v>0.8</v>
      </c>
      <c r="D33" s="113">
        <f>SUM(C31:C33)</f>
        <v>4</v>
      </c>
      <c r="G33" s="141"/>
    </row>
    <row r="34" spans="1:7" x14ac:dyDescent="0.3">
      <c r="A34" s="13"/>
      <c r="B34" s="104"/>
      <c r="C34" s="2"/>
      <c r="D34" s="2"/>
      <c r="G34" s="141"/>
    </row>
    <row r="35" spans="1:7" x14ac:dyDescent="0.3">
      <c r="A35" s="13"/>
      <c r="B35" s="104" t="s">
        <v>260</v>
      </c>
      <c r="C35" s="113">
        <v>100000</v>
      </c>
      <c r="D35" s="2"/>
      <c r="G35" s="141"/>
    </row>
    <row r="36" spans="1:7" x14ac:dyDescent="0.3">
      <c r="A36" s="13"/>
      <c r="B36" s="104"/>
      <c r="C36" s="113">
        <v>40000</v>
      </c>
      <c r="D36" s="113">
        <f>C36/C35</f>
        <v>0.4</v>
      </c>
      <c r="G36" s="141"/>
    </row>
    <row r="37" spans="1:7" x14ac:dyDescent="0.3">
      <c r="A37" s="13"/>
      <c r="B37" s="104"/>
      <c r="C37" s="2"/>
      <c r="D37" s="2"/>
      <c r="G37" s="141"/>
    </row>
    <row r="38" spans="1:7" x14ac:dyDescent="0.3">
      <c r="A38" s="14"/>
      <c r="B38" s="104"/>
      <c r="C38" s="2" t="s">
        <v>261</v>
      </c>
      <c r="D38" s="113">
        <f>D33+D36</f>
        <v>4.4000000000000004</v>
      </c>
      <c r="E38" s="12"/>
      <c r="F38" s="6"/>
      <c r="G38" s="142"/>
    </row>
  </sheetData>
  <mergeCells count="2">
    <mergeCell ref="B1:F1"/>
    <mergeCell ref="H1:J1"/>
  </mergeCells>
  <pageMargins left="0.7" right="0.7" top="0.75" bottom="0.75" header="0.3" footer="0.3"/>
  <pageSetup paperSize="9" scale="80" fitToHeight="0" orientation="landscape" r:id="rId1"/>
  <rowBreaks count="1" manualBreakCount="1">
    <brk id="2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2E66-2434-40B2-BF3A-29F132E9E3D5}">
  <sheetPr>
    <pageSetUpPr fitToPage="1"/>
  </sheetPr>
  <dimension ref="A1:L55"/>
  <sheetViews>
    <sheetView workbookViewId="0">
      <selection activeCell="I10" sqref="I10"/>
    </sheetView>
  </sheetViews>
  <sheetFormatPr defaultColWidth="12.5703125" defaultRowHeight="16.5" x14ac:dyDescent="0.3"/>
  <cols>
    <col min="1" max="1" width="12.5703125" style="1"/>
    <col min="2" max="2" width="36.5703125" style="1" customWidth="1"/>
    <col min="3" max="3" width="12.5703125" style="1"/>
    <col min="4" max="4" width="6.140625" style="1" customWidth="1"/>
    <col min="5" max="5" width="12.5703125" style="1"/>
    <col min="6" max="6" width="4.85546875" style="1" customWidth="1"/>
    <col min="7" max="9" width="12.5703125" style="1"/>
    <col min="10" max="10" width="38" style="1" customWidth="1"/>
    <col min="11" max="16384" width="12.5703125" style="1"/>
  </cols>
  <sheetData>
    <row r="1" spans="1:12" ht="31.5" customHeight="1" x14ac:dyDescent="0.3">
      <c r="A1" s="20" t="s">
        <v>0</v>
      </c>
      <c r="B1" s="305" t="s">
        <v>1</v>
      </c>
      <c r="C1" s="306"/>
      <c r="D1" s="306"/>
      <c r="E1" s="306"/>
      <c r="F1" s="306"/>
      <c r="G1" s="306"/>
      <c r="H1" s="306"/>
      <c r="I1" s="40" t="s">
        <v>2</v>
      </c>
      <c r="J1" s="36" t="s">
        <v>3</v>
      </c>
      <c r="K1" s="114"/>
      <c r="L1" s="114"/>
    </row>
    <row r="2" spans="1:12" x14ac:dyDescent="0.3">
      <c r="A2" s="172">
        <v>3</v>
      </c>
      <c r="B2" s="176" t="s">
        <v>262</v>
      </c>
      <c r="C2" s="2"/>
      <c r="D2" s="2"/>
      <c r="E2" s="2"/>
      <c r="F2" s="2"/>
      <c r="G2" s="191"/>
      <c r="H2" s="208" t="s">
        <v>8</v>
      </c>
      <c r="I2" s="115"/>
      <c r="J2" s="7"/>
    </row>
    <row r="3" spans="1:12" x14ac:dyDescent="0.3">
      <c r="A3" s="13" t="s">
        <v>263</v>
      </c>
      <c r="B3" s="104" t="s">
        <v>264</v>
      </c>
      <c r="C3" s="116">
        <v>0.9</v>
      </c>
      <c r="D3" s="2"/>
      <c r="E3" s="117"/>
      <c r="F3" s="117"/>
      <c r="G3" s="191" t="s">
        <v>7</v>
      </c>
      <c r="H3" s="118"/>
      <c r="I3" s="119">
        <v>3</v>
      </c>
      <c r="J3" s="13"/>
    </row>
    <row r="4" spans="1:12" x14ac:dyDescent="0.3">
      <c r="A4" s="13"/>
      <c r="B4" s="104" t="s">
        <v>265</v>
      </c>
      <c r="C4" s="192" t="s">
        <v>7</v>
      </c>
      <c r="D4" s="2"/>
      <c r="E4" s="117"/>
      <c r="F4" s="120"/>
      <c r="G4" s="117">
        <v>2000</v>
      </c>
      <c r="H4" s="109"/>
      <c r="I4" s="119"/>
      <c r="J4" s="13"/>
    </row>
    <row r="5" spans="1:12" x14ac:dyDescent="0.3">
      <c r="A5" s="13"/>
      <c r="B5" s="104" t="s">
        <v>266</v>
      </c>
      <c r="C5" s="117">
        <v>1400</v>
      </c>
      <c r="D5" s="120" t="s">
        <v>267</v>
      </c>
      <c r="E5" s="117">
        <v>150</v>
      </c>
      <c r="F5" s="120" t="s">
        <v>268</v>
      </c>
      <c r="G5" s="117">
        <f>C5+E5</f>
        <v>1550</v>
      </c>
      <c r="H5" s="109"/>
      <c r="I5" s="119"/>
      <c r="J5" s="13"/>
    </row>
    <row r="6" spans="1:12" x14ac:dyDescent="0.3">
      <c r="A6" s="13"/>
      <c r="B6" s="2"/>
      <c r="C6" s="117">
        <f>G5</f>
        <v>1550</v>
      </c>
      <c r="D6" s="120" t="s">
        <v>269</v>
      </c>
      <c r="E6" s="116">
        <f>C3</f>
        <v>0.9</v>
      </c>
      <c r="F6" s="120" t="s">
        <v>268</v>
      </c>
      <c r="G6" s="117">
        <f>C6*E6</f>
        <v>1395</v>
      </c>
      <c r="H6" s="187" t="s">
        <v>10</v>
      </c>
      <c r="I6" s="119"/>
      <c r="J6" s="13"/>
    </row>
    <row r="7" spans="1:12" x14ac:dyDescent="0.3">
      <c r="A7" s="13"/>
      <c r="B7" s="2" t="s">
        <v>270</v>
      </c>
      <c r="C7" s="117">
        <f>G4</f>
        <v>2000</v>
      </c>
      <c r="D7" s="120" t="s">
        <v>271</v>
      </c>
      <c r="E7" s="121">
        <f>G6</f>
        <v>1395</v>
      </c>
      <c r="F7" s="120" t="s">
        <v>268</v>
      </c>
      <c r="G7" s="121">
        <f>C7-E7</f>
        <v>605</v>
      </c>
      <c r="H7" s="187" t="s">
        <v>10</v>
      </c>
      <c r="I7" s="119"/>
      <c r="J7" s="13"/>
    </row>
    <row r="8" spans="1:12" x14ac:dyDescent="0.3">
      <c r="A8" s="13"/>
      <c r="B8" s="2" t="s">
        <v>272</v>
      </c>
      <c r="C8" s="2"/>
      <c r="D8" s="120"/>
      <c r="E8" s="2"/>
      <c r="F8" s="120"/>
      <c r="G8" s="121">
        <f>G7/5</f>
        <v>121</v>
      </c>
      <c r="H8" s="212" t="s">
        <v>10</v>
      </c>
      <c r="I8" s="119"/>
      <c r="J8" s="13"/>
    </row>
    <row r="9" spans="1:12" x14ac:dyDescent="0.3">
      <c r="A9" s="13"/>
      <c r="B9" s="2" t="s">
        <v>273</v>
      </c>
      <c r="C9" s="2"/>
      <c r="D9" s="120"/>
      <c r="E9" s="2"/>
      <c r="F9" s="120"/>
      <c r="G9" s="122">
        <f>G7-G8</f>
        <v>484</v>
      </c>
      <c r="H9" s="207"/>
      <c r="I9" s="10"/>
      <c r="J9" s="13"/>
    </row>
    <row r="10" spans="1:12" x14ac:dyDescent="0.3">
      <c r="A10" s="14"/>
      <c r="B10" s="7"/>
      <c r="C10" s="7"/>
      <c r="D10" s="143"/>
      <c r="E10" s="7"/>
      <c r="F10" s="143"/>
      <c r="G10" s="7"/>
      <c r="H10" s="220"/>
      <c r="I10" s="140"/>
      <c r="J10" s="13"/>
    </row>
    <row r="11" spans="1:12" x14ac:dyDescent="0.3">
      <c r="A11" s="7" t="s">
        <v>274</v>
      </c>
      <c r="B11" s="18" t="s">
        <v>275</v>
      </c>
      <c r="C11" s="223">
        <f>G5</f>
        <v>1550</v>
      </c>
      <c r="D11" s="224" t="s">
        <v>269</v>
      </c>
      <c r="E11" s="225">
        <f>1-C3</f>
        <v>9.9999999999999978E-2</v>
      </c>
      <c r="F11" s="224" t="s">
        <v>268</v>
      </c>
      <c r="G11" s="223">
        <f>C11*E11</f>
        <v>154.99999999999997</v>
      </c>
      <c r="H11" s="226" t="s">
        <v>10</v>
      </c>
      <c r="I11" s="214">
        <v>1</v>
      </c>
      <c r="J11" s="9"/>
    </row>
    <row r="12" spans="1:12" x14ac:dyDescent="0.3">
      <c r="A12" s="14"/>
      <c r="B12" s="6"/>
      <c r="C12" s="6"/>
      <c r="D12" s="6"/>
      <c r="E12" s="6"/>
      <c r="F12" s="6"/>
      <c r="G12" s="6"/>
      <c r="H12" s="227"/>
      <c r="I12" s="213"/>
      <c r="J12" s="19"/>
    </row>
    <row r="13" spans="1:12" x14ac:dyDescent="0.3">
      <c r="A13" s="10" t="s">
        <v>276</v>
      </c>
      <c r="B13" s="221" t="s">
        <v>277</v>
      </c>
      <c r="C13" s="14"/>
      <c r="D13" s="14"/>
      <c r="E13" s="14"/>
      <c r="F13" s="14"/>
      <c r="G13" s="14"/>
      <c r="H13" s="222"/>
      <c r="I13" s="140"/>
      <c r="J13" s="13"/>
    </row>
    <row r="14" spans="1:12" ht="14.25" customHeight="1" x14ac:dyDescent="0.3">
      <c r="A14" s="10"/>
      <c r="B14" s="110"/>
      <c r="C14" s="2"/>
      <c r="D14" s="2"/>
      <c r="E14" s="2"/>
      <c r="F14" s="2"/>
      <c r="G14" s="192" t="s">
        <v>7</v>
      </c>
      <c r="H14" s="207"/>
      <c r="I14" s="140">
        <v>11</v>
      </c>
      <c r="J14" s="13"/>
    </row>
    <row r="15" spans="1:12" x14ac:dyDescent="0.3">
      <c r="A15" s="10"/>
      <c r="B15" s="49" t="s">
        <v>278</v>
      </c>
      <c r="C15" s="117"/>
      <c r="D15" s="188"/>
      <c r="E15" s="189"/>
      <c r="F15" s="117"/>
      <c r="G15" s="117"/>
      <c r="H15" s="8"/>
      <c r="I15" s="13"/>
      <c r="J15" s="13"/>
    </row>
    <row r="16" spans="1:12" x14ac:dyDescent="0.3">
      <c r="A16" s="10"/>
      <c r="B16" s="2" t="s">
        <v>279</v>
      </c>
      <c r="C16" s="117"/>
      <c r="D16" s="188"/>
      <c r="E16" s="189"/>
      <c r="F16" s="117"/>
      <c r="G16" s="117">
        <v>6400</v>
      </c>
      <c r="H16" s="187" t="s">
        <v>10</v>
      </c>
      <c r="I16" s="13"/>
      <c r="J16" s="13"/>
    </row>
    <row r="17" spans="1:10" ht="18.75" x14ac:dyDescent="0.45">
      <c r="A17" s="10"/>
      <c r="B17" s="2" t="s">
        <v>280</v>
      </c>
      <c r="C17" s="117"/>
      <c r="D17" s="188"/>
      <c r="E17" s="190"/>
      <c r="F17" s="117"/>
      <c r="G17" s="123">
        <v>484</v>
      </c>
      <c r="H17" s="187" t="s">
        <v>10</v>
      </c>
      <c r="I17" s="10"/>
      <c r="J17" s="13"/>
    </row>
    <row r="18" spans="1:10" x14ac:dyDescent="0.3">
      <c r="A18" s="10"/>
      <c r="B18" s="3"/>
      <c r="C18" s="117"/>
      <c r="D18" s="188"/>
      <c r="E18" s="190"/>
      <c r="F18" s="117"/>
      <c r="G18" s="117">
        <f>SUM(G15:G17)</f>
        <v>6884</v>
      </c>
      <c r="H18" s="200"/>
      <c r="I18" s="10"/>
      <c r="J18" s="13"/>
    </row>
    <row r="19" spans="1:10" ht="18.75" x14ac:dyDescent="0.45">
      <c r="A19" s="10"/>
      <c r="B19" s="148" t="s">
        <v>281</v>
      </c>
      <c r="C19" s="117"/>
      <c r="D19" s="188"/>
      <c r="E19" s="189"/>
      <c r="F19" s="117"/>
      <c r="G19" s="123">
        <v>4600</v>
      </c>
      <c r="H19" s="187" t="s">
        <v>10</v>
      </c>
      <c r="I19" s="10"/>
      <c r="J19" s="13"/>
    </row>
    <row r="20" spans="1:10" x14ac:dyDescent="0.3">
      <c r="A20" s="10"/>
      <c r="B20" s="49" t="s">
        <v>85</v>
      </c>
      <c r="C20" s="117"/>
      <c r="D20" s="188"/>
      <c r="E20" s="117"/>
      <c r="F20" s="117"/>
      <c r="G20" s="117">
        <v>11484</v>
      </c>
      <c r="H20" s="200"/>
      <c r="I20" s="10"/>
      <c r="J20" s="13"/>
    </row>
    <row r="21" spans="1:10" x14ac:dyDescent="0.3">
      <c r="A21" s="10"/>
      <c r="B21" s="2"/>
      <c r="C21" s="2"/>
      <c r="D21" s="120"/>
      <c r="E21" s="2"/>
      <c r="F21" s="2"/>
      <c r="G21" s="124"/>
      <c r="H21" s="200"/>
      <c r="I21" s="10"/>
      <c r="J21" s="13"/>
    </row>
    <row r="22" spans="1:10" x14ac:dyDescent="0.3">
      <c r="A22" s="10"/>
      <c r="B22" s="49" t="s">
        <v>282</v>
      </c>
      <c r="C22" s="117"/>
      <c r="D22" s="188"/>
      <c r="E22" s="117"/>
      <c r="F22" s="2"/>
      <c r="G22" s="117">
        <v>3000</v>
      </c>
      <c r="H22" s="187" t="s">
        <v>10</v>
      </c>
      <c r="I22" s="10"/>
      <c r="J22" s="13"/>
    </row>
    <row r="23" spans="1:10" x14ac:dyDescent="0.3">
      <c r="A23" s="10"/>
      <c r="B23" s="2"/>
      <c r="C23" s="2"/>
      <c r="D23" s="120"/>
      <c r="E23" s="2"/>
      <c r="F23" s="2"/>
      <c r="G23" s="117"/>
      <c r="H23" s="200"/>
      <c r="I23" s="10"/>
      <c r="J23" s="13"/>
    </row>
    <row r="24" spans="1:10" x14ac:dyDescent="0.3">
      <c r="A24" s="10"/>
      <c r="B24" s="49" t="s">
        <v>283</v>
      </c>
      <c r="C24" s="2"/>
      <c r="D24" s="120"/>
      <c r="E24" s="2"/>
      <c r="F24" s="2"/>
      <c r="G24" s="117"/>
      <c r="H24" s="200"/>
      <c r="I24" s="10"/>
      <c r="J24" s="13"/>
    </row>
    <row r="25" spans="1:10" ht="18.75" x14ac:dyDescent="0.45">
      <c r="A25" s="10"/>
      <c r="B25" s="2" t="s">
        <v>284</v>
      </c>
      <c r="C25" s="117"/>
      <c r="D25" s="188"/>
      <c r="E25" s="117"/>
      <c r="F25" s="2"/>
      <c r="G25" s="123">
        <v>550</v>
      </c>
      <c r="H25" s="187" t="s">
        <v>10</v>
      </c>
      <c r="I25" s="10"/>
      <c r="J25" s="13"/>
    </row>
    <row r="26" spans="1:10" x14ac:dyDescent="0.3">
      <c r="A26" s="10"/>
      <c r="B26" s="125" t="s">
        <v>94</v>
      </c>
      <c r="C26" s="2"/>
      <c r="D26" s="2"/>
      <c r="E26" s="2"/>
      <c r="F26" s="2"/>
      <c r="G26" s="117">
        <v>3550</v>
      </c>
      <c r="H26" s="207"/>
      <c r="I26" s="10"/>
      <c r="J26" s="13"/>
    </row>
    <row r="27" spans="1:10" x14ac:dyDescent="0.3">
      <c r="A27" s="10"/>
      <c r="B27" s="125" t="s">
        <v>95</v>
      </c>
      <c r="C27" s="2"/>
      <c r="D27" s="2"/>
      <c r="E27" s="2"/>
      <c r="F27" s="2"/>
      <c r="G27" s="117">
        <f>G18+G19-G22-G25</f>
        <v>7934</v>
      </c>
      <c r="H27" s="207"/>
      <c r="I27" s="10"/>
      <c r="J27" s="13"/>
    </row>
    <row r="28" spans="1:10" x14ac:dyDescent="0.3">
      <c r="A28" s="10"/>
      <c r="B28" s="3"/>
      <c r="C28" s="2"/>
      <c r="D28" s="2"/>
      <c r="E28" s="2"/>
      <c r="F28" s="2"/>
      <c r="G28" s="117"/>
      <c r="H28" s="207"/>
      <c r="I28" s="10"/>
      <c r="J28" s="13"/>
    </row>
    <row r="29" spans="1:10" x14ac:dyDescent="0.3">
      <c r="A29" s="10"/>
      <c r="B29" s="49" t="s">
        <v>96</v>
      </c>
      <c r="C29" s="2"/>
      <c r="D29" s="2"/>
      <c r="E29" s="2"/>
      <c r="F29" s="2"/>
      <c r="G29" s="117"/>
      <c r="H29" s="207"/>
      <c r="I29" s="10"/>
      <c r="J29" s="13"/>
    </row>
    <row r="30" spans="1:10" x14ac:dyDescent="0.3">
      <c r="A30" s="10"/>
      <c r="B30" s="2" t="s">
        <v>97</v>
      </c>
      <c r="C30" s="117"/>
      <c r="D30" s="2"/>
      <c r="E30" s="2"/>
      <c r="F30" s="2"/>
      <c r="G30" s="117">
        <v>7000</v>
      </c>
      <c r="H30" s="187" t="s">
        <v>10</v>
      </c>
      <c r="I30" s="10"/>
      <c r="J30" s="13"/>
    </row>
    <row r="31" spans="1:10" x14ac:dyDescent="0.3">
      <c r="A31" s="10"/>
      <c r="B31" s="2" t="s">
        <v>285</v>
      </c>
      <c r="C31" s="117"/>
      <c r="D31" s="2"/>
      <c r="E31" s="2"/>
      <c r="F31" s="2"/>
      <c r="G31" s="117">
        <v>500</v>
      </c>
      <c r="H31" s="187" t="s">
        <v>10</v>
      </c>
      <c r="I31" s="10"/>
      <c r="J31" s="13"/>
    </row>
    <row r="32" spans="1:10" x14ac:dyDescent="0.3">
      <c r="A32" s="10"/>
      <c r="B32" s="2" t="s">
        <v>286</v>
      </c>
      <c r="C32" s="117"/>
      <c r="D32" s="120"/>
      <c r="E32" s="121"/>
      <c r="F32" s="2"/>
      <c r="G32" s="117">
        <v>279</v>
      </c>
      <c r="H32" s="187" t="s">
        <v>22</v>
      </c>
      <c r="I32" s="10"/>
      <c r="J32" s="13"/>
    </row>
    <row r="33" spans="1:10" x14ac:dyDescent="0.3">
      <c r="A33" s="10"/>
      <c r="B33" s="2" t="s">
        <v>287</v>
      </c>
      <c r="C33" s="117"/>
      <c r="D33" s="2"/>
      <c r="E33" s="2"/>
      <c r="F33" s="2"/>
      <c r="G33" s="117">
        <v>155</v>
      </c>
      <c r="H33" s="187" t="s">
        <v>10</v>
      </c>
      <c r="I33" s="10"/>
      <c r="J33" s="13"/>
    </row>
    <row r="34" spans="1:10" x14ac:dyDescent="0.3">
      <c r="A34" s="10"/>
      <c r="B34" s="3"/>
      <c r="C34" s="2"/>
      <c r="D34" s="2"/>
      <c r="E34" s="2"/>
      <c r="F34" s="2"/>
      <c r="G34" s="117">
        <f>SUM(G30:G33)</f>
        <v>7934</v>
      </c>
      <c r="H34" s="208"/>
      <c r="I34" s="10"/>
      <c r="J34" s="13"/>
    </row>
    <row r="35" spans="1:10" x14ac:dyDescent="0.3">
      <c r="A35" s="12"/>
      <c r="B35" s="49" t="s">
        <v>288</v>
      </c>
      <c r="C35" s="2"/>
      <c r="D35" s="2"/>
      <c r="E35" s="2"/>
      <c r="F35" s="2"/>
      <c r="G35" s="2"/>
      <c r="H35" s="187" t="s">
        <v>10</v>
      </c>
      <c r="I35" s="12"/>
      <c r="J35" s="14"/>
    </row>
    <row r="38" spans="1:10" x14ac:dyDescent="0.3">
      <c r="B38" s="126"/>
    </row>
    <row r="41" spans="1:10" x14ac:dyDescent="0.3">
      <c r="B41" s="53"/>
    </row>
    <row r="50" spans="2:2" x14ac:dyDescent="0.3">
      <c r="B50" s="53"/>
    </row>
    <row r="55" spans="2:2" x14ac:dyDescent="0.3">
      <c r="B55" s="53"/>
    </row>
  </sheetData>
  <mergeCells count="1">
    <mergeCell ref="B1:H1"/>
  </mergeCells>
  <phoneticPr fontId="6" type="noConversion"/>
  <pageMargins left="0.7" right="0.7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ADA2-C314-4B3F-892C-F6D1551EBA58}">
  <sheetPr>
    <pageSetUpPr fitToPage="1"/>
  </sheetPr>
  <dimension ref="A1:M37"/>
  <sheetViews>
    <sheetView zoomScaleNormal="100" workbookViewId="0">
      <selection activeCell="I10" sqref="I10"/>
    </sheetView>
  </sheetViews>
  <sheetFormatPr defaultColWidth="8.7109375" defaultRowHeight="16.5" x14ac:dyDescent="0.3"/>
  <cols>
    <col min="1" max="1" width="9.85546875" style="1" customWidth="1"/>
    <col min="2" max="2" width="37.7109375" style="1" customWidth="1"/>
    <col min="3" max="3" width="10.28515625" style="1" customWidth="1"/>
    <col min="4" max="4" width="3.42578125" style="1" customWidth="1"/>
    <col min="5" max="5" width="10.28515625" style="1" customWidth="1"/>
    <col min="6" max="6" width="18" style="1" customWidth="1"/>
    <col min="7" max="7" width="6.5703125" style="4" customWidth="1"/>
    <col min="8" max="8" width="8.42578125" style="147" customWidth="1"/>
    <col min="9" max="9" width="13" style="1" customWidth="1"/>
    <col min="10" max="10" width="7" style="1" customWidth="1"/>
    <col min="11" max="11" width="9.28515625" style="1" customWidth="1"/>
    <col min="12" max="12" width="7.28515625" style="1" customWidth="1"/>
    <col min="13" max="16384" width="8.7109375" style="1"/>
  </cols>
  <sheetData>
    <row r="1" spans="1:13" ht="33" x14ac:dyDescent="0.3">
      <c r="A1" s="20" t="s">
        <v>0</v>
      </c>
      <c r="B1" s="250" t="s">
        <v>1</v>
      </c>
      <c r="C1" s="272"/>
      <c r="D1" s="272"/>
      <c r="E1" s="272"/>
      <c r="F1" s="272"/>
      <c r="G1" s="248"/>
      <c r="H1" s="153" t="s">
        <v>2</v>
      </c>
      <c r="I1" s="250" t="s">
        <v>3</v>
      </c>
      <c r="J1" s="272"/>
      <c r="K1" s="272"/>
      <c r="L1" s="272"/>
      <c r="M1" s="248"/>
    </row>
    <row r="2" spans="1:13" ht="16.5" customHeight="1" x14ac:dyDescent="0.3">
      <c r="A2" s="171">
        <v>4</v>
      </c>
      <c r="B2" s="132" t="s">
        <v>289</v>
      </c>
      <c r="C2" s="30"/>
      <c r="D2" s="30"/>
      <c r="E2" s="30"/>
      <c r="F2" s="30"/>
      <c r="G2" s="57" t="s">
        <v>8</v>
      </c>
      <c r="H2" s="151"/>
      <c r="I2" s="17"/>
      <c r="J2" s="18"/>
      <c r="K2" s="18"/>
      <c r="L2" s="18"/>
      <c r="M2" s="9"/>
    </row>
    <row r="3" spans="1:13" x14ac:dyDescent="0.3">
      <c r="A3" s="13" t="s">
        <v>5</v>
      </c>
      <c r="B3" s="88"/>
      <c r="C3" s="30"/>
      <c r="D3" s="30"/>
      <c r="E3" s="30"/>
      <c r="F3" s="30"/>
      <c r="H3" s="140">
        <v>25</v>
      </c>
      <c r="M3" s="11"/>
    </row>
    <row r="4" spans="1:13" x14ac:dyDescent="0.3">
      <c r="A4" s="13"/>
      <c r="B4" s="38"/>
      <c r="C4" s="52" t="s">
        <v>7</v>
      </c>
      <c r="D4" s="38"/>
      <c r="E4" s="52" t="s">
        <v>7</v>
      </c>
      <c r="F4" s="52" t="s">
        <v>7</v>
      </c>
      <c r="G4" s="84"/>
      <c r="H4" s="140"/>
      <c r="M4" s="11"/>
    </row>
    <row r="5" spans="1:13" ht="33" x14ac:dyDescent="0.3">
      <c r="A5" s="13"/>
      <c r="B5" s="55" t="s">
        <v>290</v>
      </c>
      <c r="C5" s="28"/>
      <c r="D5" s="28"/>
      <c r="E5" s="28"/>
      <c r="F5" s="24">
        <v>11300</v>
      </c>
      <c r="G5" s="193" t="s">
        <v>22</v>
      </c>
      <c r="H5" s="140"/>
      <c r="M5" s="11"/>
    </row>
    <row r="6" spans="1:13" x14ac:dyDescent="0.3">
      <c r="A6" s="13"/>
      <c r="B6" s="87" t="s">
        <v>291</v>
      </c>
      <c r="C6" s="128"/>
      <c r="D6" s="128"/>
      <c r="E6" s="28"/>
      <c r="F6" s="24">
        <v>1630</v>
      </c>
      <c r="G6" s="193" t="s">
        <v>10</v>
      </c>
      <c r="H6" s="141"/>
      <c r="M6" s="11"/>
    </row>
    <row r="7" spans="1:13" x14ac:dyDescent="0.3">
      <c r="A7" s="13"/>
      <c r="B7" s="87"/>
      <c r="C7" s="128"/>
      <c r="D7" s="128"/>
      <c r="E7" s="28"/>
      <c r="F7" s="24">
        <f>F5+F6</f>
        <v>12930</v>
      </c>
      <c r="G7" s="193"/>
      <c r="H7" s="141"/>
      <c r="M7" s="11"/>
    </row>
    <row r="8" spans="1:13" x14ac:dyDescent="0.3">
      <c r="A8" s="13"/>
      <c r="B8" s="87" t="s">
        <v>292</v>
      </c>
      <c r="C8" s="28">
        <v>840</v>
      </c>
      <c r="D8" s="195" t="s">
        <v>68</v>
      </c>
      <c r="E8" s="28"/>
      <c r="F8" s="28"/>
      <c r="G8" s="82"/>
      <c r="H8" s="141"/>
      <c r="M8" s="11"/>
    </row>
    <row r="9" spans="1:13" x14ac:dyDescent="0.3">
      <c r="A9" s="13"/>
      <c r="B9" s="87" t="s">
        <v>293</v>
      </c>
      <c r="C9" s="24">
        <v>4970</v>
      </c>
      <c r="D9" s="196"/>
      <c r="E9" s="28"/>
      <c r="F9" s="128"/>
      <c r="G9" s="193" t="s">
        <v>10</v>
      </c>
      <c r="H9" s="141"/>
      <c r="M9" s="11"/>
    </row>
    <row r="10" spans="1:13" x14ac:dyDescent="0.3">
      <c r="A10" s="13"/>
      <c r="B10" s="87" t="s">
        <v>294</v>
      </c>
      <c r="C10" s="24">
        <v>1160</v>
      </c>
      <c r="D10" s="196"/>
      <c r="E10" s="28"/>
      <c r="F10" s="128"/>
      <c r="G10" s="193" t="s">
        <v>10</v>
      </c>
      <c r="H10" s="141"/>
      <c r="M10" s="11"/>
    </row>
    <row r="11" spans="1:13" x14ac:dyDescent="0.3">
      <c r="A11" s="13"/>
      <c r="B11" s="87" t="s">
        <v>295</v>
      </c>
      <c r="C11" s="24">
        <v>-1050</v>
      </c>
      <c r="D11" s="196" t="s">
        <v>68</v>
      </c>
      <c r="E11" s="28"/>
      <c r="F11" s="28"/>
      <c r="G11" s="193" t="s">
        <v>10</v>
      </c>
      <c r="H11" s="141"/>
      <c r="I11" s="60" t="s">
        <v>296</v>
      </c>
      <c r="M11" s="11"/>
    </row>
    <row r="12" spans="1:13" x14ac:dyDescent="0.3">
      <c r="A12" s="13"/>
      <c r="B12" s="87"/>
      <c r="C12" s="28"/>
      <c r="D12" s="28"/>
      <c r="E12" s="24">
        <f>SUM(C8:C11)</f>
        <v>5920</v>
      </c>
      <c r="F12" s="28"/>
      <c r="G12" s="194"/>
      <c r="H12" s="141"/>
      <c r="I12" s="10"/>
      <c r="M12" s="11"/>
    </row>
    <row r="13" spans="1:13" x14ac:dyDescent="0.3">
      <c r="A13" s="13"/>
      <c r="B13" s="87" t="s">
        <v>297</v>
      </c>
      <c r="C13" s="28">
        <v>545</v>
      </c>
      <c r="D13" s="28"/>
      <c r="E13" s="28"/>
      <c r="F13" s="28"/>
      <c r="G13" s="193" t="s">
        <v>10</v>
      </c>
      <c r="H13" s="141"/>
      <c r="I13" s="10"/>
      <c r="M13" s="11"/>
    </row>
    <row r="14" spans="1:13" x14ac:dyDescent="0.3">
      <c r="A14" s="13"/>
      <c r="B14" s="87" t="s">
        <v>298</v>
      </c>
      <c r="C14" s="28">
        <v>75</v>
      </c>
      <c r="D14" s="28"/>
      <c r="E14" s="28"/>
      <c r="F14" s="28"/>
      <c r="G14" s="193" t="s">
        <v>10</v>
      </c>
      <c r="H14" s="141"/>
      <c r="I14" s="10"/>
      <c r="M14" s="11"/>
    </row>
    <row r="15" spans="1:13" x14ac:dyDescent="0.3">
      <c r="A15" s="13"/>
      <c r="B15" s="87"/>
      <c r="C15" s="28"/>
      <c r="D15" s="28"/>
      <c r="E15" s="28">
        <f>C13+C14</f>
        <v>620</v>
      </c>
      <c r="F15" s="28"/>
      <c r="G15" s="42"/>
      <c r="H15" s="141"/>
      <c r="I15" s="88"/>
      <c r="J15" s="30"/>
      <c r="K15" s="30"/>
      <c r="L15" s="30"/>
      <c r="M15" s="89"/>
    </row>
    <row r="16" spans="1:13" x14ac:dyDescent="0.3">
      <c r="A16" s="13"/>
      <c r="B16" s="87" t="s">
        <v>299</v>
      </c>
      <c r="C16" s="28">
        <v>305</v>
      </c>
      <c r="D16" s="28"/>
      <c r="E16" s="28"/>
      <c r="F16" s="28"/>
      <c r="G16" s="193" t="s">
        <v>10</v>
      </c>
      <c r="H16" s="141"/>
      <c r="I16" s="10"/>
      <c r="M16" s="11"/>
    </row>
    <row r="17" spans="1:13" x14ac:dyDescent="0.3">
      <c r="A17" s="13"/>
      <c r="B17" s="87" t="s">
        <v>300</v>
      </c>
      <c r="C17" s="28">
        <v>15</v>
      </c>
      <c r="D17" s="28"/>
      <c r="E17" s="28"/>
      <c r="F17" s="128"/>
      <c r="G17" s="193" t="s">
        <v>10</v>
      </c>
      <c r="H17" s="141"/>
      <c r="I17" s="129"/>
      <c r="J17"/>
      <c r="K17"/>
      <c r="M17" s="11"/>
    </row>
    <row r="18" spans="1:13" x14ac:dyDescent="0.3">
      <c r="A18" s="13"/>
      <c r="B18" s="87"/>
      <c r="C18" s="28"/>
      <c r="D18" s="28"/>
      <c r="E18" s="28">
        <f>C16-C17</f>
        <v>290</v>
      </c>
      <c r="F18" s="128"/>
      <c r="G18" s="41"/>
      <c r="H18" s="141"/>
      <c r="I18" s="129"/>
      <c r="J18"/>
      <c r="K18"/>
      <c r="M18" s="11"/>
    </row>
    <row r="19" spans="1:13" x14ac:dyDescent="0.3">
      <c r="A19" s="13"/>
      <c r="B19" s="130" t="s">
        <v>301</v>
      </c>
      <c r="C19" s="28"/>
      <c r="D19" s="28"/>
      <c r="E19" s="39">
        <f>E12+E15+E18</f>
        <v>6830</v>
      </c>
      <c r="F19" s="128"/>
      <c r="G19" s="193" t="s">
        <v>10</v>
      </c>
      <c r="H19" s="141"/>
      <c r="I19" s="60" t="s">
        <v>302</v>
      </c>
      <c r="M19" s="11"/>
    </row>
    <row r="20" spans="1:13" x14ac:dyDescent="0.3">
      <c r="A20" s="13"/>
      <c r="B20" s="87" t="s">
        <v>303</v>
      </c>
      <c r="C20" s="28"/>
      <c r="D20" s="28"/>
      <c r="E20" s="28">
        <v>480</v>
      </c>
      <c r="F20" s="128"/>
      <c r="G20" s="193" t="s">
        <v>10</v>
      </c>
      <c r="H20" s="141"/>
      <c r="I20" s="100"/>
      <c r="J20" s="152"/>
      <c r="K20" s="152"/>
      <c r="L20" s="152"/>
      <c r="M20" s="131"/>
    </row>
    <row r="21" spans="1:13" x14ac:dyDescent="0.3">
      <c r="A21" s="13"/>
      <c r="B21" s="47" t="s">
        <v>304</v>
      </c>
      <c r="C21" s="28"/>
      <c r="D21" s="28"/>
      <c r="E21" s="28"/>
      <c r="F21" s="128"/>
      <c r="G21" s="194"/>
      <c r="H21" s="155"/>
      <c r="I21" s="100"/>
      <c r="J21" s="152"/>
      <c r="K21" s="152"/>
      <c r="L21" s="152"/>
      <c r="M21" s="131"/>
    </row>
    <row r="22" spans="1:13" x14ac:dyDescent="0.3">
      <c r="A22" s="13"/>
      <c r="B22" s="87" t="s">
        <v>305</v>
      </c>
      <c r="C22" s="24">
        <v>5200</v>
      </c>
      <c r="D22" s="24"/>
      <c r="E22" s="28"/>
      <c r="F22" s="128"/>
      <c r="G22" s="193" t="s">
        <v>10</v>
      </c>
      <c r="H22" s="155"/>
      <c r="I22" s="132"/>
      <c r="J22" s="146"/>
      <c r="K22" s="146"/>
      <c r="L22" s="146"/>
      <c r="M22" s="133"/>
    </row>
    <row r="23" spans="1:13" x14ac:dyDescent="0.3">
      <c r="A23" s="13"/>
      <c r="B23" s="87" t="s">
        <v>306</v>
      </c>
      <c r="C23" s="28">
        <v>200</v>
      </c>
      <c r="D23" s="28"/>
      <c r="E23" s="28"/>
      <c r="F23" s="128"/>
      <c r="G23" s="193" t="s">
        <v>10</v>
      </c>
      <c r="H23" s="91"/>
      <c r="I23" s="132"/>
      <c r="J23" s="146"/>
      <c r="K23" s="146"/>
      <c r="L23" s="146"/>
      <c r="M23" s="133"/>
    </row>
    <row r="24" spans="1:13" x14ac:dyDescent="0.3">
      <c r="A24" s="13"/>
      <c r="B24" s="87" t="s">
        <v>307</v>
      </c>
      <c r="C24" s="24">
        <v>4000</v>
      </c>
      <c r="D24" s="24"/>
      <c r="E24" s="28"/>
      <c r="F24" s="128"/>
      <c r="G24" s="193" t="s">
        <v>10</v>
      </c>
      <c r="H24" s="91"/>
      <c r="I24" s="100"/>
      <c r="J24" s="152"/>
      <c r="K24" s="152"/>
      <c r="L24" s="152"/>
      <c r="M24" s="131"/>
    </row>
    <row r="25" spans="1:13" x14ac:dyDescent="0.3">
      <c r="A25" s="13"/>
      <c r="B25" s="87" t="s">
        <v>308</v>
      </c>
      <c r="C25" s="24">
        <v>6750</v>
      </c>
      <c r="D25" s="24"/>
      <c r="E25" s="28"/>
      <c r="F25" s="128"/>
      <c r="G25" s="193" t="s">
        <v>10</v>
      </c>
      <c r="H25" s="156"/>
      <c r="I25" s="100"/>
      <c r="J25" s="152"/>
      <c r="K25" s="152"/>
      <c r="L25" s="152"/>
      <c r="M25" s="131"/>
    </row>
    <row r="26" spans="1:13" x14ac:dyDescent="0.3">
      <c r="A26" s="13"/>
      <c r="B26" s="87"/>
      <c r="C26" s="24"/>
      <c r="D26" s="24"/>
      <c r="E26" s="24">
        <f>C22-C23+C24-C25</f>
        <v>2250</v>
      </c>
      <c r="F26" s="128"/>
      <c r="G26" s="42"/>
      <c r="H26" s="156"/>
      <c r="I26" s="10"/>
      <c r="M26" s="11"/>
    </row>
    <row r="27" spans="1:13" ht="29.25" customHeight="1" x14ac:dyDescent="0.3">
      <c r="A27" s="13"/>
      <c r="B27" s="87" t="s">
        <v>309</v>
      </c>
      <c r="C27" s="28"/>
      <c r="D27" s="28"/>
      <c r="E27" s="28">
        <v>150</v>
      </c>
      <c r="F27" s="128"/>
      <c r="G27" s="193" t="s">
        <v>10</v>
      </c>
      <c r="H27" s="156"/>
      <c r="I27" s="100"/>
      <c r="J27" s="152"/>
      <c r="K27" s="152"/>
      <c r="L27" s="152"/>
      <c r="M27" s="131"/>
    </row>
    <row r="28" spans="1:13" x14ac:dyDescent="0.3">
      <c r="A28" s="13"/>
      <c r="B28" s="87" t="s">
        <v>310</v>
      </c>
      <c r="C28" s="28"/>
      <c r="D28" s="28"/>
      <c r="E28" s="28">
        <v>930</v>
      </c>
      <c r="F28" s="128"/>
      <c r="G28" s="193" t="s">
        <v>22</v>
      </c>
      <c r="H28" s="156"/>
      <c r="I28" s="60" t="s">
        <v>311</v>
      </c>
      <c r="K28" s="61" t="s">
        <v>312</v>
      </c>
      <c r="M28" s="11"/>
    </row>
    <row r="29" spans="1:13" x14ac:dyDescent="0.3">
      <c r="A29" s="13"/>
      <c r="B29" s="134" t="s">
        <v>139</v>
      </c>
      <c r="C29" s="28"/>
      <c r="D29" s="28"/>
      <c r="E29" s="24">
        <v>1280</v>
      </c>
      <c r="F29" s="128"/>
      <c r="G29" s="193" t="s">
        <v>22</v>
      </c>
      <c r="H29" s="157"/>
      <c r="I29" s="60" t="s">
        <v>313</v>
      </c>
      <c r="L29" s="152"/>
      <c r="M29" s="131"/>
    </row>
    <row r="30" spans="1:13" x14ac:dyDescent="0.3">
      <c r="A30" s="13"/>
      <c r="B30" s="134"/>
      <c r="C30" s="28"/>
      <c r="D30" s="28"/>
      <c r="E30" s="28"/>
      <c r="F30" s="24">
        <f>SUM(E19:E29)</f>
        <v>11920</v>
      </c>
      <c r="G30" s="42"/>
      <c r="H30" s="157"/>
      <c r="I30" s="127"/>
      <c r="M30" s="11"/>
    </row>
    <row r="31" spans="1:13" x14ac:dyDescent="0.3">
      <c r="A31" s="13"/>
      <c r="B31" s="134" t="s">
        <v>314</v>
      </c>
      <c r="C31" s="28"/>
      <c r="D31" s="28"/>
      <c r="E31" s="28"/>
      <c r="F31" s="24">
        <f>F7-F30</f>
        <v>1010</v>
      </c>
      <c r="G31" s="42"/>
      <c r="H31" s="156"/>
      <c r="M31" s="11"/>
    </row>
    <row r="32" spans="1:13" x14ac:dyDescent="0.3">
      <c r="A32" s="13"/>
      <c r="B32" s="135" t="s">
        <v>315</v>
      </c>
      <c r="C32" s="28"/>
      <c r="D32" s="28"/>
      <c r="E32" s="28"/>
      <c r="F32" s="28">
        <v>808</v>
      </c>
      <c r="G32" s="193" t="s">
        <v>22</v>
      </c>
      <c r="H32" s="156"/>
      <c r="I32" s="60" t="s">
        <v>316</v>
      </c>
      <c r="M32" s="11"/>
    </row>
    <row r="33" spans="1:13" x14ac:dyDescent="0.3">
      <c r="A33" s="13"/>
      <c r="B33" s="134" t="s">
        <v>317</v>
      </c>
      <c r="C33" s="23"/>
      <c r="D33" s="23"/>
      <c r="E33" s="28"/>
      <c r="F33" s="24">
        <f>F31-F32</f>
        <v>202</v>
      </c>
      <c r="G33" s="193" t="s">
        <v>10</v>
      </c>
      <c r="H33" s="156"/>
      <c r="I33" s="60"/>
      <c r="M33" s="11"/>
    </row>
    <row r="34" spans="1:13" x14ac:dyDescent="0.3">
      <c r="A34" s="13"/>
      <c r="B34" s="55"/>
      <c r="C34" s="23"/>
      <c r="D34" s="23"/>
      <c r="E34" s="28"/>
      <c r="F34" s="23"/>
      <c r="G34" s="42"/>
      <c r="H34" s="156"/>
      <c r="M34" s="11"/>
    </row>
    <row r="35" spans="1:13" x14ac:dyDescent="0.3">
      <c r="A35" s="14"/>
      <c r="B35" s="307" t="s">
        <v>288</v>
      </c>
      <c r="C35" s="307"/>
      <c r="D35" s="307"/>
      <c r="E35" s="307"/>
      <c r="F35" s="308"/>
      <c r="G35" s="193" t="s">
        <v>10</v>
      </c>
      <c r="H35" s="158"/>
      <c r="I35" s="102"/>
      <c r="J35" s="95"/>
      <c r="K35" s="95"/>
      <c r="L35" s="95"/>
      <c r="M35" s="159"/>
    </row>
    <row r="36" spans="1:13" x14ac:dyDescent="0.3">
      <c r="G36" s="1"/>
    </row>
    <row r="37" spans="1:13" x14ac:dyDescent="0.3">
      <c r="G37" s="1"/>
    </row>
  </sheetData>
  <mergeCells count="3">
    <mergeCell ref="B1:G1"/>
    <mergeCell ref="B35:F35"/>
    <mergeCell ref="I1:M1"/>
  </mergeCells>
  <pageMargins left="0.7" right="0.7" top="0.75" bottom="0.75" header="0.3" footer="0.3"/>
  <pageSetup paperSize="9" scale="8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2CE8E-3E38-4EEE-A65D-BE2CC59645ED}">
  <sheetPr>
    <pageSetUpPr fitToPage="1"/>
  </sheetPr>
  <dimension ref="A1:J8"/>
  <sheetViews>
    <sheetView workbookViewId="0">
      <selection activeCell="I10" sqref="I10"/>
    </sheetView>
  </sheetViews>
  <sheetFormatPr defaultColWidth="8.7109375" defaultRowHeight="16.5" x14ac:dyDescent="0.3"/>
  <cols>
    <col min="1" max="1" width="9.85546875" style="1" customWidth="1"/>
    <col min="2" max="2" width="47.5703125" style="1" customWidth="1"/>
    <col min="3" max="3" width="9.42578125" style="1" customWidth="1"/>
    <col min="4" max="4" width="14.28515625" style="1" customWidth="1"/>
    <col min="5" max="5" width="12" style="154" customWidth="1"/>
    <col min="6" max="6" width="17.42578125" style="4" customWidth="1"/>
    <col min="7" max="8" width="8.7109375" style="1"/>
    <col min="9" max="9" width="10.140625" style="1" customWidth="1"/>
    <col min="10" max="16384" width="8.7109375" style="1"/>
  </cols>
  <sheetData>
    <row r="1" spans="1:10" ht="33" x14ac:dyDescent="0.3">
      <c r="A1" s="173" t="s">
        <v>0</v>
      </c>
      <c r="B1" s="309" t="s">
        <v>1</v>
      </c>
      <c r="C1" s="310"/>
      <c r="D1" s="311"/>
      <c r="E1" s="36" t="s">
        <v>2</v>
      </c>
      <c r="F1" s="250" t="s">
        <v>3</v>
      </c>
      <c r="G1" s="272"/>
      <c r="H1" s="272"/>
      <c r="I1" s="272"/>
      <c r="J1" s="248"/>
    </row>
    <row r="2" spans="1:10" x14ac:dyDescent="0.3">
      <c r="A2" s="172">
        <v>4</v>
      </c>
      <c r="B2" s="137" t="s">
        <v>318</v>
      </c>
      <c r="C2" s="18"/>
      <c r="D2" s="106"/>
      <c r="E2" s="136">
        <v>2</v>
      </c>
      <c r="F2" s="312" t="s">
        <v>319</v>
      </c>
      <c r="G2" s="313"/>
      <c r="H2" s="313"/>
      <c r="I2" s="313"/>
      <c r="J2" s="314"/>
    </row>
    <row r="3" spans="1:10" x14ac:dyDescent="0.3">
      <c r="A3" s="13" t="s">
        <v>65</v>
      </c>
      <c r="B3" s="61" t="s">
        <v>320</v>
      </c>
      <c r="C3" s="138"/>
      <c r="D3" s="139"/>
      <c r="E3" s="160"/>
      <c r="F3" s="10"/>
      <c r="J3" s="11"/>
    </row>
    <row r="4" spans="1:10" ht="33.75" customHeight="1" x14ac:dyDescent="0.3">
      <c r="A4" s="14"/>
      <c r="B4" s="266" t="s">
        <v>321</v>
      </c>
      <c r="C4" s="266"/>
      <c r="D4" s="271"/>
      <c r="E4" s="161"/>
      <c r="F4" s="12"/>
      <c r="G4" s="6"/>
      <c r="H4" s="6"/>
      <c r="I4" s="6"/>
      <c r="J4" s="19"/>
    </row>
    <row r="5" spans="1:10" x14ac:dyDescent="0.3">
      <c r="A5" s="13"/>
      <c r="B5" s="111"/>
      <c r="C5" s="215" t="s">
        <v>7</v>
      </c>
      <c r="D5" s="228" t="s">
        <v>8</v>
      </c>
      <c r="E5" s="163"/>
      <c r="F5" s="1"/>
      <c r="J5" s="11"/>
    </row>
    <row r="6" spans="1:10" x14ac:dyDescent="0.3">
      <c r="A6" s="13" t="s">
        <v>221</v>
      </c>
      <c r="B6" s="87" t="s">
        <v>322</v>
      </c>
      <c r="C6" s="24">
        <f>(24500*3)/4</f>
        <v>18375</v>
      </c>
      <c r="D6" s="193" t="s">
        <v>10</v>
      </c>
      <c r="E6" s="160">
        <v>3</v>
      </c>
      <c r="F6" s="1"/>
      <c r="J6" s="11"/>
    </row>
    <row r="7" spans="1:10" x14ac:dyDescent="0.3">
      <c r="A7" s="13"/>
      <c r="B7" s="87" t="s">
        <v>323</v>
      </c>
      <c r="C7" s="24">
        <f>11300*15%</f>
        <v>1695</v>
      </c>
      <c r="D7" s="193" t="s">
        <v>10</v>
      </c>
      <c r="E7" s="160"/>
      <c r="F7" s="1"/>
      <c r="J7" s="11"/>
    </row>
    <row r="8" spans="1:10" x14ac:dyDescent="0.3">
      <c r="A8" s="14"/>
      <c r="B8" s="87" t="s">
        <v>324</v>
      </c>
      <c r="C8" s="24">
        <f>C6-C7</f>
        <v>16680</v>
      </c>
      <c r="D8" s="193" t="s">
        <v>10</v>
      </c>
      <c r="E8" s="162"/>
      <c r="F8" s="6"/>
      <c r="G8" s="6"/>
      <c r="H8" s="6"/>
      <c r="I8" s="6"/>
      <c r="J8" s="19"/>
    </row>
  </sheetData>
  <mergeCells count="4">
    <mergeCell ref="B1:D1"/>
    <mergeCell ref="F1:J1"/>
    <mergeCell ref="F2:J2"/>
    <mergeCell ref="B4:D4"/>
  </mergeCells>
  <pageMargins left="0.7" right="0.7" top="0.75" bottom="0.75" header="0.3" footer="0.3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A5AA676D2624AA7FE72318C9F5667" ma:contentTypeVersion="11" ma:contentTypeDescription="Create a new document." ma:contentTypeScope="" ma:versionID="0feb9b6a8f7fdbbaa0ec5669e84554e5">
  <xsd:schema xmlns:xsd="http://www.w3.org/2001/XMLSchema" xmlns:xs="http://www.w3.org/2001/XMLSchema" xmlns:p="http://schemas.microsoft.com/office/2006/metadata/properties" xmlns:ns2="d125b3f6-d0e6-4703-adf4-6684bfb85344" xmlns:ns3="04c0c4c1-8f5a-4404-9dca-a6e74bdc6e20" targetNamespace="http://schemas.microsoft.com/office/2006/metadata/properties" ma:root="true" ma:fieldsID="47a9ed1d410b20827ded8140f0aff4d1" ns2:_="" ns3:_="">
    <xsd:import namespace="d125b3f6-d0e6-4703-adf4-6684bfb85344"/>
    <xsd:import namespace="04c0c4c1-8f5a-4404-9dca-a6e74bdc6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3f6-d0e6-4703-adf4-6684bfb85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0c4c1-8f5a-4404-9dca-a6e74bdc6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031593-D465-4E47-B550-806425B04A03}">
  <ds:schemaRefs>
    <ds:schemaRef ds:uri="http://schemas.openxmlformats.org/package/2006/metadata/core-properties"/>
    <ds:schemaRef ds:uri="d125b3f6-d0e6-4703-adf4-6684bfb85344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04c0c4c1-8f5a-4404-9dca-a6e74bdc6e20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5878178-BBBF-47AE-BF99-580D4EA72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5b3f6-d0e6-4703-adf4-6684bfb85344"/>
    <ds:schemaRef ds:uri="04c0c4c1-8f5a-4404-9dca-a6e74bdc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86A294-2FBA-43A1-AC96-BAFB28DB21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Q1a Income Statement</vt:lpstr>
      <vt:lpstr>Q1b Retained Earnings</vt:lpstr>
      <vt:lpstr>Q1c SOFP</vt:lpstr>
      <vt:lpstr>Q2A a Cash Inflows</vt:lpstr>
      <vt:lpstr>Q2A a Cash Inflows (alt method)</vt:lpstr>
      <vt:lpstr>Q2A NPV b-e</vt:lpstr>
      <vt:lpstr>Q2B a i Realisation Acc</vt:lpstr>
      <vt:lpstr>Q2B a ii Equity Acc </vt:lpstr>
      <vt:lpstr>Q2B a iii CCE Acc and b</vt:lpstr>
      <vt:lpstr>Q3 a OICI and b Abs Costing</vt:lpstr>
      <vt:lpstr>Q3 calcs and cons SOFP </vt:lpstr>
      <vt:lpstr>Q4 a Contract Acc</vt:lpstr>
      <vt:lpstr>Q4 b theory and c paid amount</vt:lpstr>
      <vt:lpstr>'Q3 a OICI and b Abs Costing'!Print_Area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Kirstie Casson</dc:creator>
  <cp:keywords/>
  <dc:description/>
  <cp:lastModifiedBy>Lindsay Thomson</cp:lastModifiedBy>
  <cp:revision/>
  <cp:lastPrinted>2024-07-02T10:15:11Z</cp:lastPrinted>
  <dcterms:created xsi:type="dcterms:W3CDTF">2023-02-23T09:53:19Z</dcterms:created>
  <dcterms:modified xsi:type="dcterms:W3CDTF">2024-07-02T10:25:58Z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0x010100120A5AA676D2624AA7FE72318C9F5667</vt:lpwstr>
  </property>
</Properties>
</file>