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evfiler1\Qualifications Managers\Lindsay Thomson\2023 Finalised MIs for the Web\Accounting\Web versions\N5\"/>
    </mc:Choice>
  </mc:AlternateContent>
  <xr:revisionPtr revIDLastSave="0" documentId="13_ncr:1_{58436ED0-5016-4472-BBEE-B4756FD75F75}" xr6:coauthVersionLast="47" xr6:coauthVersionMax="47" xr10:uidLastSave="{00000000-0000-0000-0000-000000000000}"/>
  <bookViews>
    <workbookView xWindow="-120" yWindow="-120" windowWidth="24240" windowHeight="13140" activeTab="1" xr2:uid="{6E512A73-8355-438B-B684-C68539C03FF5}"/>
  </bookViews>
  <sheets>
    <sheet name="Question 1 Part A" sheetId="1" r:id="rId1"/>
    <sheet name="Q1 Part A Notes" sheetId="9" r:id="rId2"/>
    <sheet name="Question 1 Part B" sheetId="2" r:id="rId3"/>
    <sheet name="Question 2" sheetId="3" r:id="rId4"/>
    <sheet name="Q2 Alt sol" sheetId="8" r:id="rId5"/>
    <sheet name="Question 3" sheetId="4" r:id="rId6"/>
    <sheet name="Question 4" sheetId="5" r:id="rId7"/>
    <sheet name="Question 5" sheetId="6" r:id="rId8"/>
    <sheet name="Question 6" sheetId="7"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6" l="1"/>
  <c r="D8" i="6"/>
  <c r="D8" i="4"/>
  <c r="D9" i="3"/>
  <c r="F9" i="3"/>
  <c r="D19" i="8"/>
  <c r="F19" i="8"/>
  <c r="B19" i="8"/>
  <c r="D20" i="8"/>
  <c r="F20" i="8"/>
  <c r="B20" i="8"/>
  <c r="F25" i="8"/>
  <c r="D25" i="8"/>
  <c r="F23" i="8"/>
  <c r="D23" i="8"/>
  <c r="F26" i="8"/>
  <c r="D26" i="8"/>
  <c r="F24" i="8"/>
  <c r="D24" i="8"/>
  <c r="D22" i="8"/>
  <c r="F22" i="8"/>
  <c r="B22" i="8"/>
  <c r="F30" i="8"/>
  <c r="D30" i="8"/>
  <c r="B30" i="8"/>
  <c r="F31" i="8"/>
  <c r="D31" i="8"/>
  <c r="B31" i="8"/>
  <c r="F28" i="8"/>
  <c r="D28" i="8"/>
  <c r="B28" i="8"/>
  <c r="F29" i="8"/>
  <c r="D29" i="8"/>
  <c r="B29" i="8"/>
  <c r="F21" i="8"/>
  <c r="D21" i="8"/>
  <c r="B21" i="8"/>
  <c r="F13" i="8"/>
  <c r="D13" i="8"/>
  <c r="B13" i="8"/>
  <c r="F17" i="8"/>
  <c r="D17" i="8"/>
  <c r="F16" i="8"/>
  <c r="D16" i="8"/>
  <c r="F14" i="8"/>
  <c r="D14" i="8"/>
  <c r="F15" i="8"/>
  <c r="D15" i="8"/>
  <c r="F11" i="8"/>
  <c r="D11" i="8"/>
  <c r="B11" i="8"/>
  <c r="F10" i="8"/>
  <c r="D10" i="8"/>
  <c r="B10" i="8"/>
  <c r="F9" i="8"/>
  <c r="D9" i="8"/>
  <c r="B9" i="8"/>
  <c r="F8" i="8"/>
  <c r="D8" i="8"/>
  <c r="B8" i="8"/>
  <c r="F6" i="8"/>
  <c r="D6" i="8"/>
  <c r="B6" i="8"/>
  <c r="F5" i="8"/>
  <c r="D5" i="8"/>
  <c r="B5" i="8"/>
  <c r="F3" i="8"/>
  <c r="D3" i="8"/>
  <c r="B3" i="8"/>
  <c r="F4" i="8"/>
  <c r="D4" i="8"/>
  <c r="B4" i="8"/>
  <c r="F10" i="6" l="1"/>
  <c r="D10" i="6"/>
  <c r="C32" i="7" l="1"/>
  <c r="C36" i="5"/>
  <c r="C17" i="7"/>
  <c r="C20" i="7" s="1"/>
  <c r="D10" i="7"/>
  <c r="D6" i="7"/>
  <c r="F8" i="6"/>
  <c r="G9" i="6"/>
  <c r="F9" i="6"/>
  <c r="D9" i="6"/>
  <c r="G8" i="6"/>
  <c r="G11" i="6" s="1"/>
  <c r="F7" i="6"/>
  <c r="D7" i="6"/>
  <c r="D14" i="5"/>
  <c r="D8" i="5"/>
  <c r="C25" i="5"/>
  <c r="C26" i="5"/>
  <c r="C21" i="5"/>
  <c r="D21" i="5" s="1"/>
  <c r="C5" i="5"/>
  <c r="D5" i="5" s="1"/>
  <c r="D18" i="5"/>
  <c r="E17" i="5" s="1"/>
  <c r="C11" i="5"/>
  <c r="D11" i="5" s="1"/>
  <c r="D7" i="4"/>
  <c r="D9" i="4" s="1"/>
  <c r="F19" i="3"/>
  <c r="D19" i="3"/>
  <c r="B19" i="3"/>
  <c r="B18" i="3"/>
  <c r="F18" i="3" s="1"/>
  <c r="F16" i="3"/>
  <c r="D16" i="3"/>
  <c r="F15" i="3"/>
  <c r="D15" i="3"/>
  <c r="F14" i="3"/>
  <c r="D14" i="3"/>
  <c r="B14" i="3"/>
  <c r="F20" i="3"/>
  <c r="F8" i="3"/>
  <c r="D8" i="3"/>
  <c r="B8" i="3"/>
  <c r="B11" i="3" s="1"/>
  <c r="D14" i="7" l="1"/>
  <c r="C21" i="7" s="1"/>
  <c r="D20" i="7"/>
  <c r="C25" i="7" s="1"/>
  <c r="C26" i="7" s="1"/>
  <c r="C13" i="6"/>
  <c r="F11" i="6"/>
  <c r="D25" i="5"/>
  <c r="D10" i="4"/>
  <c r="D11" i="4" s="1"/>
  <c r="B21" i="3"/>
  <c r="B23" i="3" s="1"/>
  <c r="D6" i="3" s="1"/>
  <c r="D18" i="3"/>
  <c r="D21" i="3" s="1"/>
  <c r="C30" i="7"/>
  <c r="D11" i="6"/>
  <c r="F21" i="3"/>
  <c r="F11" i="3"/>
  <c r="D11" i="3"/>
  <c r="F13" i="6" l="1"/>
  <c r="F14" i="6" s="1"/>
  <c r="D13" i="6"/>
  <c r="D14" i="6" s="1"/>
  <c r="D12" i="4"/>
  <c r="D13" i="4" s="1"/>
  <c r="D23" i="3"/>
  <c r="F6" i="3" s="1"/>
  <c r="F23" i="3" s="1"/>
  <c r="D14" i="4" l="1"/>
  <c r="B22" i="2"/>
  <c r="C22" i="2" s="1"/>
  <c r="C23" i="2" s="1"/>
  <c r="B15" i="2"/>
  <c r="B16" i="2" s="1"/>
  <c r="D15" i="4" l="1"/>
  <c r="D17" i="4" s="1"/>
  <c r="B8" i="2"/>
  <c r="B10" i="2" s="1"/>
  <c r="O11" i="1" l="1"/>
  <c r="O12" i="1" s="1"/>
  <c r="O6" i="1"/>
  <c r="E31" i="1"/>
  <c r="E32" i="1" s="1"/>
  <c r="E33" i="1" s="1"/>
  <c r="E34" i="1" s="1"/>
  <c r="E27" i="1"/>
  <c r="O32" i="1"/>
  <c r="O27" i="1"/>
  <c r="O22" i="1"/>
  <c r="O17" i="1"/>
  <c r="E15" i="1"/>
  <c r="E6" i="1"/>
  <c r="E7" i="1" s="1"/>
  <c r="E8" i="1" s="1"/>
  <c r="E9" i="1" s="1"/>
  <c r="E10" i="1" l="1"/>
  <c r="E23" i="1"/>
  <c r="E16" i="1" l="1"/>
  <c r="E17" i="1" s="1"/>
  <c r="E18" i="1" s="1"/>
</calcChain>
</file>

<file path=xl/sharedStrings.xml><?xml version="1.0" encoding="utf-8"?>
<sst xmlns="http://schemas.openxmlformats.org/spreadsheetml/2006/main" count="796" uniqueCount="419">
  <si>
    <t>1. Part A (a)</t>
  </si>
  <si>
    <t>Max 23</t>
  </si>
  <si>
    <t xml:space="preserve">Bank </t>
  </si>
  <si>
    <t>Dr</t>
  </si>
  <si>
    <t>Cr</t>
  </si>
  <si>
    <t>Balance</t>
  </si>
  <si>
    <t>Equipment</t>
  </si>
  <si>
    <t>£</t>
  </si>
  <si>
    <t>1 Mar</t>
  </si>
  <si>
    <t>dr</t>
  </si>
  <si>
    <t>12 Mar</t>
  </si>
  <si>
    <t>Loan</t>
  </si>
  <si>
    <t>(1)</t>
  </si>
  <si>
    <t>8 Mar</t>
  </si>
  <si>
    <t>Grampian Solutions</t>
  </si>
  <si>
    <t>15 Mar</t>
  </si>
  <si>
    <t>MV Repair + VAT</t>
  </si>
  <si>
    <t>20 Mar</t>
  </si>
  <si>
    <t>Grampian Solution</t>
  </si>
  <si>
    <t>Cash</t>
  </si>
  <si>
    <t>28 Mar</t>
  </si>
  <si>
    <t>S Jamieson</t>
  </si>
  <si>
    <t>Equipment + VAT</t>
  </si>
  <si>
    <t>cr</t>
  </si>
  <si>
    <t>VAT</t>
  </si>
  <si>
    <t>Bank</t>
  </si>
  <si>
    <t>1 March</t>
  </si>
  <si>
    <t>Sales Returns</t>
  </si>
  <si>
    <t>4 March</t>
  </si>
  <si>
    <t>8 March</t>
  </si>
  <si>
    <t>11 March</t>
  </si>
  <si>
    <t>11 Mar</t>
  </si>
  <si>
    <t>15 March</t>
  </si>
  <si>
    <t>Bank Loan</t>
  </si>
  <si>
    <t>20 March</t>
  </si>
  <si>
    <t>Motor Vehicle Repair</t>
  </si>
  <si>
    <t>Sales</t>
  </si>
  <si>
    <t>Bad Debt</t>
  </si>
  <si>
    <t>4 Mar</t>
  </si>
  <si>
    <t>Sales + VAT</t>
  </si>
  <si>
    <t>Sales Returns + VAT</t>
  </si>
  <si>
    <t>(2)</t>
  </si>
  <si>
    <t>Bad Debts</t>
  </si>
  <si>
    <t>(b)</t>
  </si>
  <si>
    <t>Trial Balance</t>
  </si>
  <si>
    <t>Max 1</t>
  </si>
  <si>
    <t>Q1 – General Instructions</t>
  </si>
  <si>
    <t>• Markers should approach question by marking transactions sequentially in date order (mark entries for 4 March first, then mark 8 March etc).</t>
  </si>
  <si>
    <t>• When marking a transaction it is helpful to have a starting point, and then ask yourself ‘What would I expect to see next’?</t>
  </si>
  <si>
    <t>• In transactions with VAT, if full amount in Sales, Equipment, Sales Returns (e.g Sales Acc has £3,900) - mark as per solution</t>
  </si>
  <si>
    <r>
      <t xml:space="preserve">• If </t>
    </r>
    <r>
      <rPr>
        <b/>
        <sz val="11"/>
        <color theme="1"/>
        <rFont val="Arial"/>
        <family val="2"/>
      </rPr>
      <t>NO</t>
    </r>
    <r>
      <rPr>
        <sz val="11"/>
        <color theme="1"/>
        <rFont val="Arial"/>
        <family val="2"/>
      </rPr>
      <t xml:space="preserve"> starting point - then mark as per solution.</t>
    </r>
  </si>
  <si>
    <r>
      <t xml:space="preserve">• If </t>
    </r>
    <r>
      <rPr>
        <b/>
        <sz val="11"/>
        <color theme="1"/>
        <rFont val="Arial"/>
        <family val="2"/>
      </rPr>
      <t xml:space="preserve">wrong </t>
    </r>
    <r>
      <rPr>
        <sz val="11"/>
        <color theme="1"/>
        <rFont val="Arial"/>
        <family val="2"/>
      </rPr>
      <t xml:space="preserve">starting point </t>
    </r>
    <r>
      <rPr>
        <sz val="11"/>
        <rFont val="Arial"/>
        <family val="2"/>
      </rPr>
      <t>(eg Rory Meston acc opened</t>
    </r>
    <r>
      <rPr>
        <sz val="11"/>
        <color theme="1"/>
        <rFont val="Arial"/>
        <family val="2"/>
      </rPr>
      <t xml:space="preserve"> instead of Sales on 4 Mar) then mark consequentially (except for 15 March). However, if </t>
    </r>
  </si>
  <si>
    <t>candidate has done this AND put full amounts in Sales, Equipment, Sales Returns etc - then mark as per solution</t>
  </si>
  <si>
    <t>Start with entry in Sales Acc. Look at VAT next. It should follow the Dr or Cr entry of the first figure. Then, look at S Jamieson Account.</t>
  </si>
  <si>
    <t>Start in Equipment Acc. Look at VAT next. It should follow the Dr or Cr entry of the first figure. Then, look at Grampian Solutions.</t>
  </si>
  <si>
    <t>Accept Photocopier/Machinery as account name</t>
  </si>
  <si>
    <r>
      <t>Start with Sales Returns (ignore entry on 4</t>
    </r>
    <r>
      <rPr>
        <vertAlign val="superscript"/>
        <sz val="11"/>
        <color theme="1"/>
        <rFont val="Arial"/>
        <family val="2"/>
      </rPr>
      <t>th</t>
    </r>
    <r>
      <rPr>
        <sz val="11"/>
        <color theme="1"/>
        <rFont val="Arial"/>
        <family val="2"/>
      </rPr>
      <t>).  Look at VAT next.  It should follow the Dr or Cr entry of the first figure. Then, look at S Jamieson Account.</t>
    </r>
  </si>
  <si>
    <t xml:space="preserve">Start at VAT account.  </t>
  </si>
  <si>
    <r>
      <t>- If no entry in VAT account then candidate can be awarde</t>
    </r>
    <r>
      <rPr>
        <sz val="11"/>
        <rFont val="Arial"/>
        <family val="2"/>
      </rPr>
      <t>d 1 out of 3 marks</t>
    </r>
    <r>
      <rPr>
        <sz val="11"/>
        <color theme="1"/>
        <rFont val="Arial"/>
        <family val="2"/>
      </rPr>
      <t xml:space="preserve"> for £300 or £350 credit entry in bank consequentially on repairs.</t>
    </r>
  </si>
  <si>
    <t>First Transaction - Start in Grampian Solutions then Bank. Any figure that clears to 0 is awarded mark.</t>
  </si>
  <si>
    <r>
      <t xml:space="preserve">Cash </t>
    </r>
    <r>
      <rPr>
        <b/>
        <sz val="11"/>
        <color theme="1"/>
        <rFont val="Arial"/>
        <family val="2"/>
      </rPr>
      <t>figure</t>
    </r>
    <r>
      <rPr>
        <sz val="11"/>
        <color theme="1"/>
        <rFont val="Arial"/>
        <family val="2"/>
      </rPr>
      <t xml:space="preserve"> is consequential on Bank entry</t>
    </r>
  </si>
  <si>
    <t>Second Transaction - Start in Bank then Cash.</t>
  </si>
  <si>
    <t>(Must be from Bank - from other acc DNA)</t>
  </si>
  <si>
    <t>Money received is 1 mark calc and 1 mark correct side of entry in S Jamieson Acc.
Bad Debts always consequential in B/Debts Acc from figure in S Jamieson.</t>
  </si>
  <si>
    <t>• Apply consequentiality as to which side of the ledger entries are on. Therefore, if a Sale is incorrectly entered on the Debit side, this would be marked wrong. However if the VAT was also on the Debit Side and the customer on the Credit Side this would be consequentially correct. Taking this approach may mean that some entries which are correct as per solution, will be marked as consequentially incorrect.</t>
  </si>
  <si>
    <t>• Consequentiality is not applied to the figures contained within a transaction. The figures are to be marked as per solution.</t>
  </si>
  <si>
    <t>• For the returns on 11 March:</t>
  </si>
  <si>
    <t>If original transaction on 4 March treated as Purchase, accept a fully consequential set of Purchase Return entries for 3 marks.</t>
  </si>
  <si>
    <t>If 4 March transaction treated as a Sale but put in wrong column as a Dr then treat 11 March as a standalone from 4 March.</t>
  </si>
  <si>
    <t xml:space="preserve">This means if candidate has subsequently entered £125 Cr in the Sales Returns Acc it would be marked as wrong but 2 </t>
  </si>
  <si>
    <r>
      <t xml:space="preserve">consequential marks would be awarded for £25 Cr in VAT Acc and £150 Dr in S Jamieson Acc.  </t>
    </r>
    <r>
      <rPr>
        <sz val="11"/>
        <rFont val="Arial"/>
        <family val="2"/>
      </rPr>
      <t>This rule also applies if original entry</t>
    </r>
  </si>
  <si>
    <t xml:space="preserve">• Do not penalise arithmetic error in balances. </t>
  </si>
  <si>
    <t>• If an entry has been put into the wrong account, it does not gain an award.</t>
  </si>
  <si>
    <t>• If there are any extra entries as part of a transaction, apply the +/- rule.</t>
  </si>
  <si>
    <t>• In transactions with VAT - amounts can be split.  Eg 4 March in S Jamieson may show seprate entries of £3,250 and £650 instead of one</t>
  </si>
  <si>
    <t>entry of £3,900.  This is acceptable.</t>
  </si>
  <si>
    <t>1. Part B</t>
  </si>
  <si>
    <t>(a)</t>
  </si>
  <si>
    <t>Max 3</t>
  </si>
  <si>
    <t>• Equity heading not required.</t>
  </si>
  <si>
    <t>Equity</t>
  </si>
  <si>
    <t>• Accept any layout - final figure of £144,000 awarded 3 marks if just done as calculation</t>
  </si>
  <si>
    <t>• Entries must be correct effect to gain mark.</t>
  </si>
  <si>
    <t>Opening Equity</t>
  </si>
  <si>
    <t>• If arithmetic error in subtotal, candidate cannot obtain full marks. DNA Drawings mark.</t>
  </si>
  <si>
    <t>Profit for the Year</t>
  </si>
  <si>
    <t>Less Drawings</t>
  </si>
  <si>
    <t>If you see:</t>
  </si>
  <si>
    <t>Closing Equity</t>
  </si>
  <si>
    <t>£160,000 - award 2 marks</t>
  </si>
  <si>
    <t>£80,000 - award 2 marks</t>
  </si>
  <si>
    <t>£96,000 - award 1 mark</t>
  </si>
  <si>
    <t>Max 2</t>
  </si>
  <si>
    <t>Provision for Bad Debts</t>
  </si>
  <si>
    <t>• Final answer is consequential on calculation of provision.</t>
  </si>
  <si>
    <t xml:space="preserve">Trade Receivables </t>
  </si>
  <si>
    <t>£38,000 on its own with no working - 2 marks</t>
  </si>
  <si>
    <t>BD Provision</t>
  </si>
  <si>
    <t>£42,000 - award 1 mark</t>
  </si>
  <si>
    <t>New value of Tr Receivables</t>
  </si>
  <si>
    <t>£2,000 - award 1 mark</t>
  </si>
  <si>
    <t>(c)</t>
  </si>
  <si>
    <t>Equipment Depreciation</t>
  </si>
  <si>
    <t>Equipment at Cost</t>
  </si>
  <si>
    <t>£56,400 - award 2 marks</t>
  </si>
  <si>
    <t>Existing Depreciation</t>
  </si>
  <si>
    <t>£52,800 - award 2 marks</t>
  </si>
  <si>
    <t>Year 2 Depreciation</t>
  </si>
  <si>
    <t>£49,632 - award 2 marks</t>
  </si>
  <si>
    <t>New value of Equipment</t>
  </si>
  <si>
    <t>£48,768 - award 2 marks</t>
  </si>
  <si>
    <t>(d)</t>
  </si>
  <si>
    <t>Carriage In</t>
  </si>
  <si>
    <t>Delivery costs on items you purchase</t>
  </si>
  <si>
    <t>• If candidate just says 'delivery costs' - award 1 mark total.</t>
  </si>
  <si>
    <t>Carriage Out</t>
  </si>
  <si>
    <t>• No award for indicating where carriage goes in the Financial Statements.</t>
  </si>
  <si>
    <t>Delivery costs on items you sell</t>
  </si>
  <si>
    <t>(e)</t>
  </si>
  <si>
    <r>
      <t xml:space="preserve">A business </t>
    </r>
    <r>
      <rPr>
        <b/>
        <sz val="11"/>
        <color theme="1"/>
        <rFont val="Arial"/>
        <family val="2"/>
      </rPr>
      <t>owned/controlled</t>
    </r>
    <r>
      <rPr>
        <sz val="11"/>
        <color theme="1"/>
        <rFont val="Arial"/>
        <family val="2"/>
      </rPr>
      <t xml:space="preserve"> by one person</t>
    </r>
  </si>
  <si>
    <t xml:space="preserve">• If candidate says 'A one person business' - award 0 marks. </t>
  </si>
  <si>
    <t xml:space="preserve">• If candidate says 'run by one person' - award 0 marks. </t>
  </si>
  <si>
    <t>2.</t>
  </si>
  <si>
    <t>Max 31</t>
  </si>
  <si>
    <t>Cash Budget</t>
  </si>
  <si>
    <t>•  For heading/layout mark:</t>
  </si>
  <si>
    <t>June</t>
  </si>
  <si>
    <t>July</t>
  </si>
  <si>
    <t>August</t>
  </si>
  <si>
    <t xml:space="preserve"> - just needs words ‘Cash Budget’ and June, July, August columns</t>
  </si>
  <si>
    <t>Opening Balance</t>
  </si>
  <si>
    <t> - must have headings for ‘money in’ and 'money out'</t>
  </si>
  <si>
    <t>Receipts</t>
  </si>
  <si>
    <t xml:space="preserve"> - must have Op &amp; Cl Balance labels</t>
  </si>
  <si>
    <t>Cash Sales</t>
  </si>
  <si>
    <t>(3)</t>
  </si>
  <si>
    <t xml:space="preserve"> - no extraneous items, ie units</t>
  </si>
  <si>
    <t>Credit Sales</t>
  </si>
  <si>
    <t>Grant</t>
  </si>
  <si>
    <t>Payments</t>
  </si>
  <si>
    <t>Labour</t>
  </si>
  <si>
    <t>Materials</t>
  </si>
  <si>
    <t>Variable OH</t>
  </si>
  <si>
    <t>Fixed Costs</t>
  </si>
  <si>
    <t>(1) line</t>
  </si>
  <si>
    <t>• For Commission - if candidate uses production figures to get £8,000</t>
  </si>
  <si>
    <t>New Equipment</t>
  </si>
  <si>
    <t>£9,000 and £10,000 - do not award both marks.</t>
  </si>
  <si>
    <t>Commission</t>
  </si>
  <si>
    <t>Rent</t>
  </si>
  <si>
    <t>• If done as a list with no indication of receipts and payments, do not</t>
  </si>
  <si>
    <t>Closing Balance</t>
  </si>
  <si>
    <t>award for Heading/Layout, Opening Balance, Closing Balance, Grant</t>
  </si>
  <si>
    <t>and Fixed Costs (DNA 5 marks in total).</t>
  </si>
  <si>
    <t>CALCULATIONS</t>
  </si>
  <si>
    <r>
      <t xml:space="preserve">Cash sales (June) – (3,600 × 75%) </t>
    </r>
    <r>
      <rPr>
        <b/>
        <sz val="11"/>
        <color rgb="FFFF0000"/>
        <rFont val="Arial"/>
        <family val="2"/>
      </rPr>
      <t>(1)</t>
    </r>
    <r>
      <rPr>
        <sz val="11"/>
        <color theme="1"/>
        <rFont val="Arial"/>
        <family val="2"/>
      </rPr>
      <t xml:space="preserve"> × £40 </t>
    </r>
    <r>
      <rPr>
        <b/>
        <sz val="11"/>
        <color rgb="FFFF0000"/>
        <rFont val="Arial"/>
        <family val="2"/>
      </rPr>
      <t>(1)</t>
    </r>
    <r>
      <rPr>
        <sz val="11"/>
        <color theme="1"/>
        <rFont val="Arial"/>
        <family val="2"/>
      </rPr>
      <t xml:space="preserve"> x 90% </t>
    </r>
    <r>
      <rPr>
        <b/>
        <sz val="11"/>
        <color rgb="FFFF0000"/>
        <rFont val="Arial"/>
        <family val="2"/>
      </rPr>
      <t>(1)</t>
    </r>
    <r>
      <rPr>
        <sz val="11"/>
        <color theme="1"/>
        <rFont val="Arial"/>
        <family val="2"/>
      </rPr>
      <t xml:space="preserve"> = £97,200</t>
    </r>
  </si>
  <si>
    <t>• New equipment for Jul and Aug is consequential on the deposit in June</t>
  </si>
  <si>
    <r>
      <t xml:space="preserve">Credit sales (July) – 3,600 </t>
    </r>
    <r>
      <rPr>
        <b/>
        <sz val="11"/>
        <color rgb="FFFF0000"/>
        <rFont val="Arial"/>
        <family val="2"/>
      </rPr>
      <t>(1)</t>
    </r>
    <r>
      <rPr>
        <sz val="11"/>
        <color theme="1"/>
        <rFont val="Arial"/>
        <family val="2"/>
      </rPr>
      <t xml:space="preserve"> × 25%</t>
    </r>
    <r>
      <rPr>
        <sz val="11"/>
        <color rgb="FFFF0000"/>
        <rFont val="Arial"/>
        <family val="2"/>
      </rPr>
      <t xml:space="preserve"> </t>
    </r>
    <r>
      <rPr>
        <b/>
        <sz val="11"/>
        <color rgb="FFFF0000"/>
        <rFont val="Arial"/>
        <family val="2"/>
      </rPr>
      <t>(1)</t>
    </r>
    <r>
      <rPr>
        <sz val="11"/>
        <color theme="1"/>
        <rFont val="Arial"/>
        <family val="2"/>
      </rPr>
      <t xml:space="preserve"> × £40 </t>
    </r>
    <r>
      <rPr>
        <b/>
        <sz val="11"/>
        <color rgb="FFFF0000"/>
        <rFont val="Arial"/>
        <family val="2"/>
      </rPr>
      <t>(1)</t>
    </r>
    <r>
      <rPr>
        <sz val="11"/>
        <color theme="1"/>
        <rFont val="Arial"/>
        <family val="2"/>
      </rPr>
      <t xml:space="preserve"> = £36,000</t>
    </r>
  </si>
  <si>
    <t xml:space="preserve">e.g - If candidate has £2,000 deposit in June - no award but £600 in </t>
  </si>
  <si>
    <t>July and Aug would be consequentially correct for 3 marks.</t>
  </si>
  <si>
    <t>Materials (July) – 4,000 × £16 = £64,000</t>
  </si>
  <si>
    <t>Equipment:</t>
  </si>
  <si>
    <t>June - £5,000 × 20% = £1,000</t>
  </si>
  <si>
    <t>July and August – (£5,000 - £1,000)/5 = £800</t>
  </si>
  <si>
    <t xml:space="preserve">• Aids in future planning/forecasting </t>
  </si>
  <si>
    <r>
      <t xml:space="preserve">• Indicates if overdraft or finance will be required / shows cash flow </t>
    </r>
    <r>
      <rPr>
        <u/>
        <sz val="11"/>
        <color rgb="FF000000"/>
        <rFont val="Arial"/>
        <family val="2"/>
      </rPr>
      <t>problems</t>
    </r>
  </si>
  <si>
    <t xml:space="preserve">• Can see if funds will be available to purchase assets/expand etc </t>
  </si>
  <si>
    <t xml:space="preserve">• Can highlight areas where cost reductions/cutbacks will be necessary </t>
  </si>
  <si>
    <t xml:space="preserve">• Can compare actual figures with budgeted figures </t>
  </si>
  <si>
    <t>"See where she is spending money" - 0 marks</t>
  </si>
  <si>
    <r>
      <t xml:space="preserve">"See where she is </t>
    </r>
    <r>
      <rPr>
        <b/>
        <u/>
        <sz val="11"/>
        <color theme="1"/>
        <rFont val="Arial"/>
        <family val="2"/>
      </rPr>
      <t>going to be</t>
    </r>
    <r>
      <rPr>
        <sz val="11"/>
        <color theme="1"/>
        <rFont val="Arial"/>
        <family val="2"/>
      </rPr>
      <t xml:space="preserve"> spending money" - 1 mark</t>
    </r>
  </si>
  <si>
    <r>
      <t xml:space="preserve">1 mark </t>
    </r>
    <r>
      <rPr>
        <sz val="11"/>
        <color theme="1"/>
        <rFont val="Arial"/>
        <family val="2"/>
      </rPr>
      <t>for each correct role.</t>
    </r>
  </si>
  <si>
    <t>Accept any other management accountant role/duty.</t>
  </si>
  <si>
    <r>
      <t xml:space="preserve">Both roles need to be in different areas, for example calculating breakeven and calculating margin of safety would only gain </t>
    </r>
    <r>
      <rPr>
        <b/>
        <sz val="11"/>
        <color theme="1"/>
        <rFont val="Arial"/>
        <family val="2"/>
      </rPr>
      <t>1 mark.</t>
    </r>
  </si>
  <si>
    <t xml:space="preserve"> </t>
  </si>
  <si>
    <t>Didn't multiply by 75%</t>
  </si>
  <si>
    <t>Didn't discount by 10%</t>
  </si>
  <si>
    <t xml:space="preserve">Multiplied by 25% instead of 75% </t>
  </si>
  <si>
    <t>Discounted by 90% instead of discounting 10%</t>
  </si>
  <si>
    <t>Didn't discount by 10% or multiply by 75%</t>
  </si>
  <si>
    <t>Didn't discount by 10% and multiplied by 25%</t>
  </si>
  <si>
    <t xml:space="preserve">Multiplied by 25% and discounted by 90% </t>
  </si>
  <si>
    <t>Didn't multiply by 75% and discounted by 90%</t>
  </si>
  <si>
    <t xml:space="preserve">Credit </t>
  </si>
  <si>
    <t>(0)</t>
  </si>
  <si>
    <t>Didn't go back a month</t>
  </si>
  <si>
    <t>Didn't multiply by 25%</t>
  </si>
  <si>
    <t>Multiplied by 75% instead of 25%</t>
  </si>
  <si>
    <t>Discounted by 10%</t>
  </si>
  <si>
    <t>Discounted by 90%</t>
  </si>
  <si>
    <t>Didn’t go back a month AND didn't multiply by 25%</t>
  </si>
  <si>
    <t>Didn’t go back a month AND multiplied by 75% instead of 25%</t>
  </si>
  <si>
    <t xml:space="preserve">Didn’t go back a month and discounted by 10% </t>
  </si>
  <si>
    <t xml:space="preserve">Didn’t go back a month and discounted by 90% </t>
  </si>
  <si>
    <t>Didn't multiply by 25% AND dicounted by 10%</t>
  </si>
  <si>
    <t>Multiplied by 75% instead of 25% AND discounted by 10%</t>
  </si>
  <si>
    <t>Didn't multiply by 25% AND dicounted by 90%</t>
  </si>
  <si>
    <t>Multiplied by 75% instead of 25% AND discounted by 90%</t>
  </si>
  <si>
    <t>Didn’t go back a month and discounted by 10% and didn't multiply by 25%</t>
  </si>
  <si>
    <t>Didn’t go back a month and discounted by 10% and multiplied by 75%</t>
  </si>
  <si>
    <t>Didn’t go back a month and discounted by 90% and didn't multiply by 25%</t>
  </si>
  <si>
    <t>Didn’t go back a month and discounted by 90% and multiplied by 75%</t>
  </si>
  <si>
    <t>Mat</t>
  </si>
  <si>
    <t>Var OH</t>
  </si>
  <si>
    <t>There is no mix and match between correct solution and alternative per line. Award the one with the higher marks.</t>
  </si>
  <si>
    <t>3.</t>
  </si>
  <si>
    <t>Max 10</t>
  </si>
  <si>
    <t>Domenico Pizza Supplies</t>
  </si>
  <si>
    <t xml:space="preserve">• In first 2 lines if a key detail is missing (quantity, kgs, unit price, item desciption). </t>
  </si>
  <si>
    <t>Quantity</t>
  </si>
  <si>
    <t>Description</t>
  </si>
  <si>
    <t>Unit Price</t>
  </si>
  <si>
    <t>Cost</t>
  </si>
  <si>
    <t xml:space="preserve">• If no labels for Trade Discount/Cash Discount or VAT – do not award final total mark. </t>
  </si>
  <si>
    <t>10 kg bag of Pizza Flour</t>
  </si>
  <si>
    <t>(1) for entire row</t>
  </si>
  <si>
    <t>3 kg Cans Full Red Sauce</t>
  </si>
  <si>
    <t>• There is no requirement for Net Goods Value label.</t>
  </si>
  <si>
    <t>Trade Discount</t>
  </si>
  <si>
    <t>Cash Discount</t>
  </si>
  <si>
    <t>• If anything is out of sequence (eg TD is AFTER VAT calculation), do not award entry mark.</t>
  </si>
  <si>
    <t>• If candidate does not include delivery charge, Final Total mark can be awarded for £23.94.</t>
  </si>
  <si>
    <t>Delivery Charge</t>
  </si>
  <si>
    <t>Total Cost</t>
  </si>
  <si>
    <t>(1) for total</t>
  </si>
  <si>
    <t>• If the TD figure is missing but correct calculation included in subtotal, TD mark</t>
  </si>
  <si>
    <t xml:space="preserve">• If CD and VAT calculations done as working but not entered into main body of </t>
  </si>
  <si>
    <t>Credit Note</t>
  </si>
  <si>
    <t>(Don't accept Copy Credit Note)</t>
  </si>
  <si>
    <t>• Some candidates have laid invoice out like a running balance putting TD, CD</t>
  </si>
  <si>
    <t>Statement</t>
  </si>
  <si>
    <t>and VAT in the Unit Price column.  Accept - as long as figures are clearly identifiable.</t>
  </si>
  <si>
    <t xml:space="preserve">• If mistake in calculation - must round correctly for mark.  </t>
  </si>
  <si>
    <r>
      <t xml:space="preserve">to encourage sales/attract </t>
    </r>
    <r>
      <rPr>
        <b/>
        <u/>
        <sz val="11"/>
        <color theme="1"/>
        <rFont val="Arial"/>
        <family val="2"/>
      </rPr>
      <t>new</t>
    </r>
    <r>
      <rPr>
        <sz val="11"/>
        <color theme="1"/>
        <rFont val="Arial"/>
        <family val="2"/>
      </rPr>
      <t xml:space="preserve"> customers</t>
    </r>
  </si>
  <si>
    <t>Incorrect calculation resulting in 0.5 can be rounded up or down.</t>
  </si>
  <si>
    <r>
      <t xml:space="preserve">customer loyalty/get </t>
    </r>
    <r>
      <rPr>
        <b/>
        <u/>
        <sz val="11"/>
        <color theme="1"/>
        <rFont val="Arial"/>
        <family val="2"/>
      </rPr>
      <t>existing</t>
    </r>
    <r>
      <rPr>
        <sz val="11"/>
        <color theme="1"/>
        <rFont val="Arial"/>
        <family val="2"/>
      </rPr>
      <t xml:space="preserve"> customers to come back</t>
    </r>
  </si>
  <si>
    <t>to encourage bulk buying</t>
  </si>
  <si>
    <t>• DNA mark for figures out of sequence. Associated subtotal can still be awarded the mark.</t>
  </si>
  <si>
    <t>as customers are in the same trade</t>
  </si>
  <si>
    <t>Example:</t>
  </si>
  <si>
    <t>Candidate has the following order.</t>
  </si>
  <si>
    <r>
      <t xml:space="preserve">Any 2 for </t>
    </r>
    <r>
      <rPr>
        <b/>
        <sz val="11"/>
        <color theme="1"/>
        <rFont val="Arial"/>
        <family val="2"/>
      </rPr>
      <t>1 mark</t>
    </r>
    <r>
      <rPr>
        <sz val="11"/>
        <color theme="1"/>
        <rFont val="Arial"/>
        <family val="2"/>
      </rPr>
      <t xml:space="preserve"> each.</t>
    </r>
  </si>
  <si>
    <t>DNA - good reputation/spread good word</t>
  </si>
  <si>
    <t>Delivery</t>
  </si>
  <si>
    <t xml:space="preserve">Approach: VAT is the first entry.  Therefore, VAT is awarded 1 mark. </t>
  </si>
  <si>
    <t>Current Liabilities/Current Assets</t>
  </si>
  <si>
    <t>Solution states that only item after VAT is Delivery, therefore it is awarded a mark</t>
  </si>
  <si>
    <t>(Do not accept Liabilities/Assets on its own)</t>
  </si>
  <si>
    <t>4.</t>
  </si>
  <si>
    <t>Max 12</t>
  </si>
  <si>
    <t>Gross Profit Ratio</t>
  </si>
  <si>
    <t>Gross Profit</t>
  </si>
  <si>
    <t>Sales Revenue</t>
  </si>
  <si>
    <t>Profit for the Year Ratio</t>
  </si>
  <si>
    <t>Acid Test Ratio</t>
  </si>
  <si>
    <t>Current Assets - Closing Inv</t>
  </si>
  <si>
    <t>:1 label not required but</t>
  </si>
  <si>
    <t>Current Liabilities</t>
  </si>
  <si>
    <t>DNA answers :2 etc</t>
  </si>
  <si>
    <t>Return on Equity Employed</t>
  </si>
  <si>
    <t>Accept 9.1%</t>
  </si>
  <si>
    <t>Trade Receivables Collection Period (in days)</t>
  </si>
  <si>
    <t>Average Trade Receivables</t>
  </si>
  <si>
    <t>x 365</t>
  </si>
  <si>
    <t>days</t>
  </si>
  <si>
    <r>
      <t xml:space="preserve"> </t>
    </r>
    <r>
      <rPr>
        <b/>
        <sz val="11"/>
        <color rgb="FF000000"/>
        <rFont val="Arial"/>
        <family val="2"/>
      </rPr>
      <t xml:space="preserve">1 mark </t>
    </r>
    <r>
      <rPr>
        <sz val="11"/>
        <color rgb="FF000000"/>
        <rFont val="Arial"/>
        <family val="2"/>
      </rPr>
      <t>for credit sales &amp;</t>
    </r>
    <r>
      <rPr>
        <b/>
        <sz val="11"/>
        <color rgb="FF000000"/>
        <rFont val="Arial"/>
        <family val="2"/>
      </rPr>
      <t>1 mark</t>
    </r>
    <r>
      <rPr>
        <sz val="11"/>
        <color rgb="FF000000"/>
        <rFont val="Arial"/>
        <family val="2"/>
      </rPr>
      <t xml:space="preserve"> for correct formula</t>
    </r>
  </si>
  <si>
    <t>Expenses Ratio</t>
  </si>
  <si>
    <t>Expenses</t>
  </si>
  <si>
    <t xml:space="preserve">Expenses calc is consequential. </t>
  </si>
  <si>
    <t xml:space="preserve">Accept GP Ratio – NP Ratio. </t>
  </si>
  <si>
    <r>
      <t xml:space="preserve">Award </t>
    </r>
    <r>
      <rPr>
        <b/>
        <sz val="11"/>
        <color rgb="FF000000"/>
        <rFont val="Arial"/>
        <family val="2"/>
      </rPr>
      <t xml:space="preserve">1 mark </t>
    </r>
    <r>
      <rPr>
        <sz val="11"/>
        <color rgb="FF000000"/>
        <rFont val="Arial"/>
        <family val="2"/>
      </rPr>
      <t>for £117,200.</t>
    </r>
  </si>
  <si>
    <t>Rate of Inventory Turnover</t>
  </si>
  <si>
    <t>Cost of Sales</t>
  </si>
  <si>
    <t>times</t>
  </si>
  <si>
    <r>
      <t xml:space="preserve">Award </t>
    </r>
    <r>
      <rPr>
        <b/>
        <sz val="11"/>
        <color rgb="FF000000"/>
        <rFont val="Arial"/>
        <family val="2"/>
      </rPr>
      <t xml:space="preserve">1 mark </t>
    </r>
    <r>
      <rPr>
        <sz val="11"/>
        <color rgb="FF000000"/>
        <rFont val="Arial"/>
        <family val="2"/>
      </rPr>
      <t>for £350,000.</t>
    </r>
  </si>
  <si>
    <t>Average Inventory</t>
  </si>
  <si>
    <r>
      <t xml:space="preserve">Award </t>
    </r>
    <r>
      <rPr>
        <b/>
        <sz val="11"/>
        <color rgb="FF000000"/>
        <rFont val="Arial"/>
        <family val="2"/>
      </rPr>
      <t xml:space="preserve">1 mark </t>
    </r>
    <r>
      <rPr>
        <sz val="11"/>
        <color rgb="FF000000"/>
        <rFont val="Arial"/>
        <family val="2"/>
      </rPr>
      <t>for £35,000.</t>
    </r>
  </si>
  <si>
    <t xml:space="preserve">One mark for ALL correct labelling for  %, days, times </t>
  </si>
  <si>
    <t xml:space="preserve">Applies to wrong answers also. </t>
  </si>
  <si>
    <t>Purchases</t>
  </si>
  <si>
    <t>Cost of Sales + Closing Inventory - Opening Inventory</t>
  </si>
  <si>
    <r>
      <t xml:space="preserve">Award </t>
    </r>
    <r>
      <rPr>
        <b/>
        <sz val="11"/>
        <color rgb="FF000000"/>
        <rFont val="Arial"/>
        <family val="2"/>
      </rPr>
      <t xml:space="preserve">1 mark </t>
    </r>
    <r>
      <rPr>
        <sz val="11"/>
        <color rgb="FF000000"/>
        <rFont val="Arial"/>
        <family val="2"/>
      </rPr>
      <t>for</t>
    </r>
    <r>
      <rPr>
        <b/>
        <sz val="11"/>
        <color rgb="FF000000"/>
        <rFont val="Arial"/>
        <family val="2"/>
      </rPr>
      <t xml:space="preserve"> </t>
    </r>
    <r>
      <rPr>
        <sz val="11"/>
        <color rgb="FF000000"/>
        <rFont val="Arial"/>
        <family val="2"/>
      </rPr>
      <t>£350,000.</t>
    </r>
  </si>
  <si>
    <t>350,000+40,500-29,500</t>
  </si>
  <si>
    <r>
      <t xml:space="preserve">Award </t>
    </r>
    <r>
      <rPr>
        <b/>
        <sz val="11"/>
        <color rgb="FF000000"/>
        <rFont val="Arial"/>
        <family val="2"/>
      </rPr>
      <t xml:space="preserve">1 mark </t>
    </r>
    <r>
      <rPr>
        <sz val="11"/>
        <color rgb="FF000000"/>
        <rFont val="Arial"/>
        <family val="2"/>
      </rPr>
      <t>for £40,500.</t>
    </r>
  </si>
  <si>
    <t xml:space="preserve">    (1)           (1)       (1)</t>
  </si>
  <si>
    <r>
      <t xml:space="preserve">Award </t>
    </r>
    <r>
      <rPr>
        <b/>
        <sz val="11"/>
        <color rgb="FF000000"/>
        <rFont val="Arial"/>
        <family val="2"/>
      </rPr>
      <t xml:space="preserve">1 mark </t>
    </r>
    <r>
      <rPr>
        <sz val="11"/>
        <color rgb="FF000000"/>
        <rFont val="Arial"/>
        <family val="2"/>
      </rPr>
      <t>for £29,500.</t>
    </r>
  </si>
  <si>
    <r>
      <t xml:space="preserve">Award </t>
    </r>
    <r>
      <rPr>
        <b/>
        <sz val="11"/>
        <color rgb="FF000000"/>
        <rFont val="Arial"/>
        <family val="2"/>
      </rPr>
      <t xml:space="preserve">2 marks max </t>
    </r>
    <r>
      <rPr>
        <sz val="11"/>
        <color rgb="FF000000"/>
        <rFont val="Arial"/>
        <family val="2"/>
      </rPr>
      <t xml:space="preserve">if arithmetic error. </t>
    </r>
  </si>
  <si>
    <t>Inventory adjustments must be correct effect for mark.</t>
  </si>
  <si>
    <t>COS can be consequential on (a), or candidate may calculate correct COS. Do not penalise if COS different from (a).</t>
  </si>
  <si>
    <t>5.</t>
  </si>
  <si>
    <t>(a) and (b)</t>
  </si>
  <si>
    <t>Overhead</t>
  </si>
  <si>
    <t>Basis</t>
  </si>
  <si>
    <t>Total</t>
  </si>
  <si>
    <t>Mixing</t>
  </si>
  <si>
    <t>Baking</t>
  </si>
  <si>
    <t>Staffing</t>
  </si>
  <si>
    <t>(£)</t>
  </si>
  <si>
    <t>Indirect Materials</t>
  </si>
  <si>
    <t>Allocated</t>
  </si>
  <si>
    <t>(1) mark for line</t>
  </si>
  <si>
    <t>Heat and Light</t>
  </si>
  <si>
    <t>Floor Area</t>
  </si>
  <si>
    <t xml:space="preserve">(1) </t>
  </si>
  <si>
    <t>Machinery Insurance</t>
  </si>
  <si>
    <t>Value of Machinery</t>
  </si>
  <si>
    <t>Employee Supervision</t>
  </si>
  <si>
    <t>No of Employees</t>
  </si>
  <si>
    <t>Production Machinery Maintenance</t>
  </si>
  <si>
    <t>No of Machines</t>
  </si>
  <si>
    <t>Max 4</t>
  </si>
  <si>
    <t xml:space="preserve">(2) </t>
  </si>
  <si>
    <t>Final Total</t>
  </si>
  <si>
    <t>No award for entries in basis or total columns.</t>
  </si>
  <si>
    <t>If wrong basis/figure applied to Mixing, second mark is consequential.</t>
  </si>
  <si>
    <t>If split is correct but candidate includes an extra entry in staffing - max for line is 2</t>
  </si>
  <si>
    <t>If split is 20/40 and 12/40 – 0 marks for Mixing and 1 mark for Baking. 
If wrong basis but identifiable by candidate narrative - 0 marks for first split - 1 consequential mark for 2nd split
Any other split/basis which is not identifiable - 0 marks for line</t>
  </si>
  <si>
    <t>Wrong figure reapportioned but apportionment correct (20/32 and 12/32) – 2 marks.</t>
  </si>
  <si>
    <t>Wrong figure reapportioned and apportionment wrong (20/40 and 12/40) – 1 mark.</t>
  </si>
  <si>
    <t>Wrong figure reapportioned and any other split – 0 marks.</t>
  </si>
  <si>
    <t>If Staffing split is correct but £15,000 shown in final line, no award for line. However, if candidate has included staffing in split, then Final Total is consequential for 1 mark</t>
  </si>
  <si>
    <t>If reapportionments have decimal points, accept figures rounded up or down to whole numbers correctly.</t>
  </si>
  <si>
    <t>If you see £38,925, £27,765 and £18,000 - then award 1 out of 4 marks.</t>
  </si>
  <si>
    <t>Costs which are not directly linked to the production of a product/department/cost centre.</t>
  </si>
  <si>
    <t>Ignore any reference to examples.</t>
  </si>
  <si>
    <t>6.</t>
  </si>
  <si>
    <t>John Dixon</t>
  </si>
  <si>
    <t>(a) (i)</t>
  </si>
  <si>
    <t>Selling price per unit</t>
  </si>
  <si>
    <t>Output</t>
  </si>
  <si>
    <t>(a) (ii)</t>
  </si>
  <si>
    <t>Variable cost per unit</t>
  </si>
  <si>
    <t>Variable Costs</t>
  </si>
  <si>
    <t>(a) (iii)</t>
  </si>
  <si>
    <t>Contribution per unit</t>
  </si>
  <si>
    <t>Selling Price - Contribution</t>
  </si>
  <si>
    <t>25-16</t>
  </si>
  <si>
    <t>All or nothing unless arithmetic error award 1 mark (watch consequentiality).</t>
  </si>
  <si>
    <t>(a) (iv)</t>
  </si>
  <si>
    <t>Fixed costs</t>
  </si>
  <si>
    <t>Total Cost - Variable Cost</t>
  </si>
  <si>
    <t>(a) (v)</t>
  </si>
  <si>
    <t>Break-even point in units.</t>
  </si>
  <si>
    <t>units</t>
  </si>
  <si>
    <t>Contribution</t>
  </si>
  <si>
    <t>Margin of safety (in units and sales value) at a level of output of 12,000 units.</t>
  </si>
  <si>
    <t>12,000 - Break-even</t>
  </si>
  <si>
    <r>
      <t xml:space="preserve">Award </t>
    </r>
    <r>
      <rPr>
        <b/>
        <sz val="11"/>
        <color theme="1"/>
        <rFont val="Arial"/>
        <family val="2"/>
      </rPr>
      <t>1 mark</t>
    </r>
    <r>
      <rPr>
        <sz val="11"/>
        <color theme="1"/>
        <rFont val="Arial"/>
        <family val="2"/>
      </rPr>
      <t xml:space="preserve"> for £125,000.</t>
    </r>
  </si>
  <si>
    <t>Number of units required to be sold to earn a profit of £54,000.</t>
  </si>
  <si>
    <r>
      <t xml:space="preserve">Max </t>
    </r>
    <r>
      <rPr>
        <b/>
        <sz val="11"/>
        <color theme="1"/>
        <rFont val="Arial"/>
        <family val="2"/>
      </rPr>
      <t xml:space="preserve">2 marks </t>
    </r>
    <r>
      <rPr>
        <b/>
        <sz val="11"/>
        <color rgb="FF000000"/>
        <rFont val="Arial"/>
        <family val="2"/>
      </rPr>
      <t>i</t>
    </r>
    <r>
      <rPr>
        <sz val="11"/>
        <color rgb="FF000000"/>
        <rFont val="Arial"/>
        <family val="2"/>
      </rPr>
      <t>f answer incorrect based on figures used.</t>
    </r>
  </si>
  <si>
    <t>Fixed costs + 54,000/Contribution</t>
  </si>
  <si>
    <r>
      <t xml:space="preserve">£54,000 + £63,000 is </t>
    </r>
    <r>
      <rPr>
        <b/>
        <sz val="11"/>
        <color rgb="FF000000"/>
        <rFont val="Arial"/>
        <family val="2"/>
      </rPr>
      <t xml:space="preserve">2 marks </t>
    </r>
    <r>
      <rPr>
        <sz val="11"/>
        <color rgb="FF000000"/>
        <rFont val="Arial"/>
        <family val="2"/>
      </rPr>
      <t xml:space="preserve">all or nothing. </t>
    </r>
  </si>
  <si>
    <t>OR</t>
  </si>
  <si>
    <r>
      <t xml:space="preserve">£54,000/£9 = 6,000 </t>
    </r>
    <r>
      <rPr>
        <sz val="11"/>
        <color rgb="FFFF0000"/>
        <rFont val="Arial"/>
        <family val="2"/>
      </rPr>
      <t xml:space="preserve">(1) </t>
    </r>
  </si>
  <si>
    <r>
      <t xml:space="preserve">Award </t>
    </r>
    <r>
      <rPr>
        <b/>
        <sz val="11"/>
        <color theme="1"/>
        <rFont val="Arial"/>
        <family val="2"/>
      </rPr>
      <t xml:space="preserve">1 mark </t>
    </r>
    <r>
      <rPr>
        <sz val="11"/>
        <color theme="1"/>
        <rFont val="Arial"/>
        <family val="2"/>
      </rPr>
      <t xml:space="preserve">for £54,000/9 = 6,000, award </t>
    </r>
    <r>
      <rPr>
        <b/>
        <sz val="11"/>
        <color theme="1"/>
        <rFont val="Arial"/>
        <family val="2"/>
      </rPr>
      <t>1 mark</t>
    </r>
    <r>
      <rPr>
        <sz val="11"/>
        <color theme="1"/>
        <rFont val="Arial"/>
        <family val="2"/>
      </rPr>
      <t xml:space="preserve"> for 7,000, award </t>
    </r>
    <r>
      <rPr>
        <b/>
        <sz val="11"/>
        <color theme="1"/>
        <rFont val="Arial"/>
        <family val="2"/>
      </rPr>
      <t>1 mark</t>
    </r>
    <r>
      <rPr>
        <sz val="11"/>
        <color theme="1"/>
        <rFont val="Arial"/>
        <family val="2"/>
      </rPr>
      <t xml:space="preserve"> for 13,000.</t>
    </r>
  </si>
  <si>
    <r>
      <t xml:space="preserve">(6,000 + 7,000 </t>
    </r>
    <r>
      <rPr>
        <sz val="11"/>
        <color rgb="FFFF0000"/>
        <rFont val="Arial"/>
        <family val="2"/>
      </rPr>
      <t>(1)</t>
    </r>
    <r>
      <rPr>
        <sz val="11"/>
        <color theme="1"/>
        <rFont val="Arial"/>
        <family val="2"/>
      </rPr>
      <t xml:space="preserve">) = 13,000 </t>
    </r>
    <r>
      <rPr>
        <sz val="11"/>
        <color rgb="FFFF0000"/>
        <rFont val="Arial"/>
        <family val="2"/>
      </rPr>
      <t>(1)</t>
    </r>
  </si>
  <si>
    <t xml:space="preserve">Candidates may use a different method to get the correct answer, UPJ to allocate marks. </t>
  </si>
  <si>
    <t>was treated as a Purchase but entered on the wrong side.</t>
  </si>
  <si>
    <t>section for 3 marks.</t>
  </si>
  <si>
    <t>to a correct entry (to a max of 3).  If candidate does full SOFP - accept correct equity</t>
  </si>
  <si>
    <r>
      <t xml:space="preserve">A business </t>
    </r>
    <r>
      <rPr>
        <b/>
        <sz val="11"/>
        <color theme="1"/>
        <rFont val="Arial"/>
        <family val="2"/>
      </rPr>
      <t>set up</t>
    </r>
    <r>
      <rPr>
        <sz val="11"/>
        <color theme="1"/>
        <rFont val="Arial"/>
        <family val="2"/>
      </rPr>
      <t xml:space="preserve"> by one person</t>
    </r>
  </si>
  <si>
    <t>• If new equipment is £1,000 for all 3 months, award 1 for line.</t>
  </si>
  <si>
    <t>• Job Cost Statements</t>
  </si>
  <si>
    <t>• Break-even</t>
  </si>
  <si>
    <t>• Inventory valuation</t>
  </si>
  <si>
    <t>• Assist in/provide info for Decision Making 
    (Decision Making on its own – 0 marks)</t>
  </si>
  <si>
    <t>• Labour costing</t>
  </si>
  <si>
    <t>• Overhead costing/Overhead Analysis</t>
  </si>
  <si>
    <t xml:space="preserve">• If no TD/CD/VAT calc, don't double penalise by not awarding final total due to missing label. </t>
  </si>
  <si>
    <r>
      <t xml:space="preserve">Award </t>
    </r>
    <r>
      <rPr>
        <b/>
        <sz val="11"/>
        <color rgb="FF000000"/>
        <rFont val="Arial"/>
        <family val="2"/>
      </rPr>
      <t xml:space="preserve">2 marks </t>
    </r>
    <r>
      <rPr>
        <sz val="11"/>
        <color rgb="FF000000"/>
        <rFont val="Arial"/>
        <family val="2"/>
      </rPr>
      <t>for 28.93/28.9/29 days on its own</t>
    </r>
  </si>
  <si>
    <r>
      <t xml:space="preserve">Award </t>
    </r>
    <r>
      <rPr>
        <b/>
        <sz val="11"/>
        <color rgb="FF000000"/>
        <rFont val="Arial"/>
        <family val="2"/>
      </rPr>
      <t>1 mark</t>
    </r>
    <r>
      <rPr>
        <sz val="11"/>
        <color rgb="FF000000"/>
        <rFont val="Arial"/>
        <family val="2"/>
      </rPr>
      <t xml:space="preserve"> for 23.14 days or 23.1/23/24 days</t>
    </r>
  </si>
  <si>
    <r>
      <t xml:space="preserve">Award </t>
    </r>
    <r>
      <rPr>
        <b/>
        <sz val="11"/>
        <color rgb="FF000000"/>
        <rFont val="Arial"/>
        <family val="2"/>
      </rPr>
      <t xml:space="preserve">1 mark </t>
    </r>
    <r>
      <rPr>
        <sz val="11"/>
        <color rgb="FF000000"/>
        <rFont val="Arial"/>
        <family val="2"/>
      </rPr>
      <t>for</t>
    </r>
    <r>
      <rPr>
        <b/>
        <sz val="11"/>
        <color rgb="FF000000"/>
        <rFont val="Arial"/>
        <family val="2"/>
      </rPr>
      <t xml:space="preserve"> </t>
    </r>
    <r>
      <rPr>
        <sz val="11"/>
        <color rgb="FF000000"/>
        <rFont val="Arial"/>
        <family val="2"/>
      </rPr>
      <t>£339,000.</t>
    </r>
  </si>
  <si>
    <r>
      <t xml:space="preserve">Award </t>
    </r>
    <r>
      <rPr>
        <b/>
        <sz val="11"/>
        <color theme="1"/>
        <rFont val="Arial"/>
        <family val="2"/>
      </rPr>
      <t>2 marks</t>
    </r>
    <r>
      <rPr>
        <sz val="11"/>
        <color theme="1"/>
        <rFont val="Arial"/>
        <family val="2"/>
      </rPr>
      <t xml:space="preserve"> for £420,000</t>
    </r>
  </si>
  <si>
    <r>
      <t xml:space="preserve">Award </t>
    </r>
    <r>
      <rPr>
        <b/>
        <sz val="11"/>
        <color theme="1"/>
        <rFont val="Arial"/>
        <family val="2"/>
      </rPr>
      <t>2 marks</t>
    </r>
    <r>
      <rPr>
        <sz val="11"/>
        <color theme="1"/>
        <rFont val="Arial"/>
        <family val="2"/>
      </rPr>
      <t xml:space="preserve"> for £390,500</t>
    </r>
  </si>
  <si>
    <r>
      <t xml:space="preserve">Award </t>
    </r>
    <r>
      <rPr>
        <b/>
        <sz val="11"/>
        <color theme="1"/>
        <rFont val="Arial"/>
        <family val="2"/>
      </rPr>
      <t>2 marks</t>
    </r>
    <r>
      <rPr>
        <sz val="11"/>
        <color theme="1"/>
        <rFont val="Arial"/>
        <family val="2"/>
      </rPr>
      <t xml:space="preserve"> for £320,500</t>
    </r>
  </si>
  <si>
    <r>
      <t xml:space="preserve">Award </t>
    </r>
    <r>
      <rPr>
        <b/>
        <sz val="11"/>
        <color theme="1"/>
        <rFont val="Arial"/>
        <family val="2"/>
      </rPr>
      <t xml:space="preserve">2 marks </t>
    </r>
    <r>
      <rPr>
        <sz val="11"/>
        <color theme="1"/>
        <rFont val="Arial"/>
        <family val="2"/>
      </rPr>
      <t>for £280,000</t>
    </r>
  </si>
  <si>
    <r>
      <t xml:space="preserve">Award </t>
    </r>
    <r>
      <rPr>
        <b/>
        <sz val="11"/>
        <color theme="1"/>
        <rFont val="Arial"/>
        <family val="2"/>
      </rPr>
      <t>2 marks</t>
    </r>
    <r>
      <rPr>
        <sz val="11"/>
        <color theme="1"/>
        <rFont val="Arial"/>
        <family val="2"/>
      </rPr>
      <t xml:space="preserve"> for £11,000</t>
    </r>
  </si>
  <si>
    <t>Start in either account but the corresponding entry must be in opposite side for consequential mark.</t>
  </si>
  <si>
    <t>- If there is an entry then it is a 3 entry transaction so mark as per solution</t>
  </si>
  <si>
    <t xml:space="preserve">First Part - Start in S Jamieson and then look at Bank Acc. 
If no entry in S Jamieson calculation award can be awarded if shown in another acc.
If first part not attempted then 2nd part can get consequtial marks by clearing acc to 0.  Any other figure transferred in no award in S Jamieson and consequential in Bad Debt Acc.
</t>
  </si>
  <si>
    <t>The following starting points in a transaction should be used:</t>
  </si>
  <si>
    <t>- Watch Account Name.  If entry in Motor Vehicle Account do not award (DNA)</t>
  </si>
  <si>
    <t>Taking the transaction on 4 March as an example, if a candidate enters £3,250 Cr  in the Sales Acc and also enters £3,250 in a Rory Meston Acc (with the VAT and Customer Accounts being correct), they would be awarded 2 marks over the transaction instead of 3.</t>
  </si>
  <si>
    <t>• If there are any extraneous items in calculation of equity, do not give an award</t>
  </si>
  <si>
    <r>
      <t xml:space="preserve">• If candidate says 'you run your </t>
    </r>
    <r>
      <rPr>
        <b/>
        <u/>
        <sz val="11"/>
        <color theme="1"/>
        <rFont val="Arial"/>
        <family val="2"/>
      </rPr>
      <t>own</t>
    </r>
    <r>
      <rPr>
        <sz val="11"/>
        <color theme="1"/>
        <rFont val="Arial"/>
        <family val="2"/>
      </rPr>
      <t xml:space="preserve"> business' - award 1 mark as there is an </t>
    </r>
  </si>
  <si>
    <t>• Answer must have reference to ownership/control/setting up.</t>
  </si>
  <si>
    <t>acknowledgement of ownership.</t>
  </si>
  <si>
    <r>
      <rPr>
        <sz val="11"/>
        <color rgb="FF000000"/>
        <rFont val="Arial"/>
        <family val="2"/>
      </rPr>
      <t>DNA</t>
    </r>
    <r>
      <rPr>
        <b/>
        <sz val="11"/>
        <color rgb="FF000000"/>
        <rFont val="Arial"/>
        <family val="2"/>
      </rPr>
      <t xml:space="preserve"> </t>
    </r>
    <r>
      <rPr>
        <sz val="11"/>
        <color rgb="FF000000"/>
        <rFont val="Arial"/>
        <family val="2"/>
      </rPr>
      <t>shows cash inflows and outflows or shows opening and closing balances unless candidate describes benefit.</t>
    </r>
  </si>
  <si>
    <r>
      <rPr>
        <sz val="11"/>
        <color rgb="FF000000"/>
        <rFont val="Arial"/>
        <family val="2"/>
      </rPr>
      <t>DNA</t>
    </r>
    <r>
      <rPr>
        <b/>
        <sz val="11"/>
        <color rgb="FF000000"/>
        <rFont val="Arial"/>
        <family val="2"/>
      </rPr>
      <t xml:space="preserve"> </t>
    </r>
    <r>
      <rPr>
        <sz val="11"/>
        <color rgb="FF000000"/>
        <rFont val="Arial"/>
        <family val="2"/>
      </rPr>
      <t>any references to profit/losses or money made/lost.</t>
    </r>
  </si>
  <si>
    <t xml:space="preserve">DNA any reference to past – must be future. </t>
  </si>
  <si>
    <t>DNA if candidate only says ‘calculating costs.’</t>
  </si>
  <si>
    <t>DNA if any reference to budgeting as in the question.</t>
  </si>
  <si>
    <r>
      <t>DNA any reference to accountant actually making the right/final decision – only</t>
    </r>
    <r>
      <rPr>
        <b/>
        <sz val="11"/>
        <color theme="1"/>
        <rFont val="Arial"/>
        <family val="2"/>
      </rPr>
      <t xml:space="preserve"> accept if they say helps to.</t>
    </r>
  </si>
  <si>
    <t>(Must say Cash Flow problem - if just "shows cash flow" - DNA)</t>
  </si>
  <si>
    <t>(DNA - if candidate just says "see if funds available". Must have purpose)</t>
  </si>
  <si>
    <t>invoice - DNA award each time.</t>
  </si>
  <si>
    <t>Do not accept 9.10%</t>
  </si>
  <si>
    <t xml:space="preserve">Final mark may be consequential, if there is a reasonable attempt at calculation of one of the constituent parts. Use professional judgement (UPJ). </t>
  </si>
  <si>
    <t>All or nothing unless arithmetic error award 1 mark.  Accept at any level of output.</t>
  </si>
  <si>
    <t>Accept at any level of output.</t>
  </si>
  <si>
    <r>
      <t xml:space="preserve">Award </t>
    </r>
    <r>
      <rPr>
        <b/>
        <sz val="11"/>
        <color theme="1"/>
        <rFont val="Arial"/>
        <family val="2"/>
      </rPr>
      <t>2 marks</t>
    </r>
    <r>
      <rPr>
        <sz val="11"/>
        <color theme="1"/>
        <rFont val="Arial"/>
        <family val="2"/>
      </rPr>
      <t xml:space="preserve"> (all or nothing)</t>
    </r>
    <r>
      <rPr>
        <b/>
        <sz val="11"/>
        <color theme="1"/>
        <rFont val="Arial"/>
        <family val="2"/>
      </rPr>
      <t xml:space="preserve"> </t>
    </r>
    <r>
      <rPr>
        <sz val="11"/>
        <color theme="1"/>
        <rFont val="Arial"/>
        <family val="2"/>
      </rPr>
      <t>for 5,000 units (OR 12,000 - break even).</t>
    </r>
  </si>
  <si>
    <t xml:space="preserve">• If Sales units used to calculate production figures - no award each time </t>
  </si>
  <si>
    <t>(and vice versa).</t>
  </si>
  <si>
    <t>• Materials, Labour and Overheads – marks for July &amp; August are consequential.</t>
  </si>
  <si>
    <t>• Accept Opening Balance added to Receipts subtotal.</t>
  </si>
  <si>
    <t>• If commission correct and put in Receipts - 1 mark for calculation.</t>
  </si>
  <si>
    <t>August is consequential on July if same figure used.</t>
  </si>
  <si>
    <t>• If Grant in payments and correctly treated as income - award mark.</t>
  </si>
  <si>
    <t>If treated as payment – 0 marks. No effect on Layout/Closing Balance mark.</t>
  </si>
  <si>
    <t>• Correct August closing balance must be consequentially correct.</t>
  </si>
  <si>
    <t>then do not award first entry (DNA 1 mark max). "Bags"/"Cans" not necessary.</t>
  </si>
  <si>
    <t>• Subtotals MUST be shown for mark (even if implied by correct calculations).</t>
  </si>
  <si>
    <t>• If a calculation is missing, then DNA associated missing subtotal award also.</t>
  </si>
  <si>
    <t>can be awarded. However if CD or VAT figure missing - DNA award each time.</t>
  </si>
  <si>
    <t>• If more than two items on invoice do not award for line (to a max of 2).</t>
  </si>
  <si>
    <t>TD and CD should come before VAT - therefore they get no award.</t>
  </si>
  <si>
    <r>
      <rPr>
        <b/>
        <sz val="11"/>
        <color rgb="FF000000"/>
        <rFont val="Arial"/>
        <family val="2"/>
      </rPr>
      <t xml:space="preserve">General Instructions
</t>
    </r>
    <r>
      <rPr>
        <sz val="11"/>
        <color rgb="FF000000"/>
        <rFont val="Arial"/>
        <family val="2"/>
      </rPr>
      <t xml:space="preserve">
Apply conventional rounding methods to award mark(s). 
Accept answers to 0 or 1 decimal place(s) providing rounding correct. If rounding incorrect, DNA mark each time. The exception to this is if candidates round down and then put in an extra 0 to give 2 decimal places. For example, for Return on Equity a candidate rounds down to 9.1% (which is acceptable) but then writes 9.10%. This instance DNA the mark </t>
    </r>
    <r>
      <rPr>
        <b/>
        <sz val="11"/>
        <color rgb="FF000000"/>
        <rFont val="Arial"/>
        <family val="2"/>
      </rPr>
      <t>once only</t>
    </r>
    <r>
      <rPr>
        <sz val="11"/>
        <color rgb="FF000000"/>
        <rFont val="Arial"/>
        <family val="2"/>
      </rPr>
      <t xml:space="preserve">. 
Accept answers with more than 2 decimal places. 
If days involved and answer incorrect, if answer below .5 then accept rounding up or down for whole days and if above .5 then only accept rounding up. Eg for an incorrect answer of 23.14 days, accept 23 days or 24 days. If wrong answer was 24.75 days then accept 25 days only. 
Correct and no working, award full marks. Incorrect and no working, do not award mark. </t>
    </r>
  </si>
  <si>
    <r>
      <t xml:space="preserve">Watch consequentiality throughout question.  
Ignore labels if missing. If label wrong (ie break-even units has £ sign), do not award </t>
    </r>
    <r>
      <rPr>
        <b/>
        <sz val="11"/>
        <color rgb="FF000000"/>
        <rFont val="Arial"/>
        <family val="2"/>
      </rPr>
      <t>1 mark</t>
    </r>
    <r>
      <rPr>
        <sz val="11"/>
        <color rgb="FF000000"/>
        <rFont val="Arial"/>
        <family val="2"/>
      </rPr>
      <t xml:space="preserve"> </t>
    </r>
    <r>
      <rPr>
        <u/>
        <sz val="11"/>
        <color rgb="FF000000"/>
        <rFont val="Arial"/>
        <family val="2"/>
      </rPr>
      <t>once only</t>
    </r>
    <r>
      <rPr>
        <sz val="11"/>
        <color rgb="FF000000"/>
        <rFont val="Arial"/>
        <family val="2"/>
      </rPr>
      <t xml:space="preserve"> throughout the question. (Applies to final answer only – not workings).
Questions (a) (i)-(iv) are all or nothing awards. If wrong formula has been used then the answer is wrong. The only exception would be if the correct formula and correct figures were used and an arithmetic error occurred. In this case award 1 mark.
If candidate has correct answer and then further adjusts calculation to leave a wrong answer – </t>
    </r>
    <r>
      <rPr>
        <b/>
        <sz val="11"/>
        <color rgb="FF000000"/>
        <rFont val="Arial"/>
        <family val="2"/>
      </rPr>
      <t>0 marks</t>
    </r>
    <r>
      <rPr>
        <sz val="11"/>
        <color rgb="FF000000"/>
        <rFont val="Arial"/>
        <family val="2"/>
      </rPr>
      <t xml:space="preserve"> in (a) (i)-(v), use professional judgement in (b) and (c). 
If candidate has multiple answers as they have calculations at each level, and all are different – </t>
    </r>
    <r>
      <rPr>
        <b/>
        <sz val="11"/>
        <color rgb="FF000000"/>
        <rFont val="Arial"/>
        <family val="2"/>
      </rPr>
      <t>0 marks</t>
    </r>
    <r>
      <rPr>
        <sz val="11"/>
        <color rgb="FF000000"/>
        <rFont val="Arial"/>
        <family val="2"/>
      </rPr>
      <t xml:space="preserve">. </t>
    </r>
  </si>
  <si>
    <t>• Ignore wrong dates/nomenclature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</si>
</sst>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
    <numFmt numFmtId="165" formatCode="_-* #,##0_-;\-* #,##0_-;_-* &quot;-&quot;??_-;_-@_-"/>
  </numFmts>
  <fonts count="22"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11"/>
      <color rgb="FFFF0000"/>
      <name val="Arial"/>
      <family val="2"/>
    </font>
    <font>
      <b/>
      <sz val="11"/>
      <color rgb="FFFF0000"/>
      <name val="Arial"/>
      <family val="2"/>
    </font>
    <font>
      <u/>
      <sz val="11"/>
      <color theme="1"/>
      <name val="Arial"/>
      <family val="2"/>
    </font>
    <font>
      <sz val="11"/>
      <color theme="1"/>
      <name val="Trebuchet MS"/>
      <family val="2"/>
    </font>
    <font>
      <b/>
      <sz val="11"/>
      <color theme="1"/>
      <name val="Trebuchet MS"/>
      <family val="2"/>
    </font>
    <font>
      <sz val="11"/>
      <color rgb="FF000000"/>
      <name val="Trebuchet MS"/>
      <family val="2"/>
    </font>
    <font>
      <sz val="11"/>
      <color rgb="FF000000"/>
      <name val="Arial"/>
      <family val="2"/>
    </font>
    <font>
      <b/>
      <sz val="11"/>
      <color rgb="FF000000"/>
      <name val="Arial"/>
      <family val="2"/>
    </font>
    <font>
      <sz val="4"/>
      <color rgb="FF000000"/>
      <name val="Arial"/>
      <family val="2"/>
    </font>
    <font>
      <sz val="8"/>
      <color rgb="FF000000"/>
      <name val="Trebuchet MS"/>
      <family val="2"/>
    </font>
    <font>
      <sz val="8"/>
      <color theme="1"/>
      <name val="Trebuchet MS"/>
      <family val="2"/>
    </font>
    <font>
      <b/>
      <u/>
      <sz val="11"/>
      <color theme="1"/>
      <name val="Arial"/>
      <family val="2"/>
    </font>
    <font>
      <b/>
      <sz val="11"/>
      <color theme="1"/>
      <name val="Calibri"/>
      <family val="2"/>
      <scheme val="minor"/>
    </font>
    <font>
      <sz val="11"/>
      <name val="Arial"/>
      <family val="2"/>
    </font>
    <font>
      <vertAlign val="superscript"/>
      <sz val="11"/>
      <color theme="1"/>
      <name val="Arial"/>
      <family val="2"/>
    </font>
    <font>
      <sz val="11"/>
      <color theme="0"/>
      <name val="Calibri"/>
      <family val="2"/>
      <scheme val="minor"/>
    </font>
    <font>
      <u/>
      <sz val="11"/>
      <color rgb="FF000000"/>
      <name val="Arial"/>
      <family val="2"/>
    </font>
    <font>
      <sz val="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ck">
        <color indexed="64"/>
      </top>
      <bottom/>
      <diagonal/>
    </border>
    <border>
      <left style="thin">
        <color indexed="64"/>
      </left>
      <right style="thin">
        <color indexed="64"/>
      </right>
      <top style="thin">
        <color indexed="64"/>
      </top>
      <bottom style="thick">
        <color indexed="64"/>
      </bottom>
      <diagonal/>
    </border>
    <border>
      <left/>
      <right/>
      <top style="thick">
        <color indexed="64"/>
      </top>
      <bottom/>
      <diagonal/>
    </border>
    <border>
      <left style="thin">
        <color indexed="64"/>
      </left>
      <right style="thin">
        <color indexed="64"/>
      </right>
      <top/>
      <bottom/>
      <diagonal/>
    </border>
    <border>
      <left style="thin">
        <color indexed="64"/>
      </left>
      <right style="thin">
        <color indexed="64"/>
      </right>
      <top style="thick">
        <color indexed="64"/>
      </top>
      <bottom style="thick">
        <color indexed="64"/>
      </bottom>
      <diagonal/>
    </border>
    <border>
      <left style="thin">
        <color indexed="64"/>
      </left>
      <right style="thin">
        <color indexed="64"/>
      </right>
      <top/>
      <bottom style="thick">
        <color indexed="64"/>
      </bottom>
      <diagonal/>
    </border>
    <border>
      <left/>
      <right/>
      <top style="thick">
        <color indexed="64"/>
      </top>
      <bottom style="thick">
        <color indexed="64"/>
      </bottom>
      <diagonal/>
    </border>
    <border>
      <left/>
      <right/>
      <top/>
      <bottom style="thick">
        <color indexed="64"/>
      </bottom>
      <diagonal/>
    </border>
    <border>
      <left/>
      <right style="medium">
        <color indexed="64"/>
      </right>
      <top style="medium">
        <color indexed="64"/>
      </top>
      <bottom/>
      <diagonal/>
    </border>
    <border>
      <left/>
      <right style="medium">
        <color indexed="64"/>
      </right>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indexed="64"/>
      </top>
      <bottom style="thin">
        <color indexed="64"/>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67">
    <xf numFmtId="0" fontId="0" fillId="0" borderId="0" xfId="0"/>
    <xf numFmtId="0" fontId="2" fillId="0" borderId="0" xfId="0" applyFont="1"/>
    <xf numFmtId="0" fontId="3" fillId="0" borderId="0" xfId="0" applyFont="1"/>
    <xf numFmtId="0" fontId="2" fillId="0" borderId="0" xfId="0" applyFont="1" applyAlignment="1">
      <alignment vertical="center"/>
    </xf>
    <xf numFmtId="0" fontId="3" fillId="0" borderId="0" xfId="0" applyFont="1" applyAlignment="1">
      <alignment vertical="center" wrapText="1"/>
    </xf>
    <xf numFmtId="3" fontId="3" fillId="0" borderId="0" xfId="0" applyNumberFormat="1" applyFont="1" applyAlignment="1">
      <alignment vertical="center" wrapText="1"/>
    </xf>
    <xf numFmtId="0" fontId="3" fillId="0" borderId="0" xfId="0" applyFont="1" applyAlignment="1">
      <alignment vertical="center"/>
    </xf>
    <xf numFmtId="49" fontId="2" fillId="0" borderId="0" xfId="0" applyNumberFormat="1" applyFont="1" applyAlignment="1">
      <alignment horizontal="left"/>
    </xf>
    <xf numFmtId="0" fontId="3" fillId="0" borderId="0" xfId="0" applyFont="1" applyAlignment="1">
      <alignment horizontal="left"/>
    </xf>
    <xf numFmtId="49" fontId="3" fillId="0" borderId="0" xfId="0" applyNumberFormat="1" applyFont="1" applyAlignment="1">
      <alignment horizontal="left"/>
    </xf>
    <xf numFmtId="49" fontId="2" fillId="0" borderId="0" xfId="0" applyNumberFormat="1" applyFont="1" applyAlignment="1">
      <alignment horizontal="left" vertical="center"/>
    </xf>
    <xf numFmtId="49" fontId="3" fillId="0" borderId="0" xfId="0" applyNumberFormat="1" applyFont="1" applyAlignment="1">
      <alignment horizontal="left" vertical="center"/>
    </xf>
    <xf numFmtId="0" fontId="3" fillId="0" borderId="0" xfId="0" applyFont="1" applyAlignment="1">
      <alignment wrapText="1"/>
    </xf>
    <xf numFmtId="0" fontId="3" fillId="0" borderId="1" xfId="0" applyFont="1" applyBorder="1"/>
    <xf numFmtId="164" fontId="3" fillId="0" borderId="1" xfId="0" applyNumberFormat="1" applyFont="1" applyBorder="1"/>
    <xf numFmtId="164" fontId="3" fillId="0" borderId="0" xfId="0" applyNumberFormat="1" applyFont="1"/>
    <xf numFmtId="0" fontId="3" fillId="0" borderId="0" xfId="0" applyFont="1" applyAlignment="1">
      <alignment vertical="top"/>
    </xf>
    <xf numFmtId="165" fontId="3" fillId="0" borderId="0" xfId="1" applyNumberFormat="1" applyFont="1" applyBorder="1" applyAlignment="1">
      <alignment horizontal="right" vertical="center" wrapText="1"/>
    </xf>
    <xf numFmtId="4" fontId="3" fillId="0" borderId="0" xfId="0" applyNumberFormat="1" applyFont="1" applyAlignment="1">
      <alignment vertical="center" wrapText="1"/>
    </xf>
    <xf numFmtId="0" fontId="3" fillId="0" borderId="0" xfId="0" applyFont="1" applyAlignment="1">
      <alignment horizontal="center" vertical="center"/>
    </xf>
    <xf numFmtId="0" fontId="4" fillId="0" borderId="0" xfId="0" applyFont="1" applyAlignment="1">
      <alignment horizontal="left"/>
    </xf>
    <xf numFmtId="49" fontId="4" fillId="0" borderId="0" xfId="0" applyNumberFormat="1" applyFont="1" applyAlignment="1">
      <alignment horizontal="left"/>
    </xf>
    <xf numFmtId="0" fontId="5" fillId="0" borderId="0" xfId="0" applyFont="1" applyAlignment="1">
      <alignment horizontal="left"/>
    </xf>
    <xf numFmtId="0" fontId="9" fillId="0" borderId="0" xfId="0" applyFont="1" applyAlignment="1">
      <alignment vertical="center"/>
    </xf>
    <xf numFmtId="49" fontId="5" fillId="0" borderId="0" xfId="0" applyNumberFormat="1" applyFont="1" applyAlignment="1">
      <alignment horizontal="left"/>
    </xf>
    <xf numFmtId="0" fontId="5" fillId="0" borderId="0" xfId="0" applyFont="1" applyAlignment="1">
      <alignment vertical="center"/>
    </xf>
    <xf numFmtId="0" fontId="7" fillId="0" borderId="0" xfId="0" applyFont="1"/>
    <xf numFmtId="0" fontId="7"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0" fontId="10" fillId="0" borderId="0" xfId="0" applyFont="1" applyAlignment="1">
      <alignment vertical="center" wrapText="1"/>
    </xf>
    <xf numFmtId="49" fontId="2" fillId="0" borderId="2" xfId="0" applyNumberFormat="1" applyFont="1" applyBorder="1" applyAlignment="1">
      <alignment horizontal="left" vertical="center"/>
    </xf>
    <xf numFmtId="0" fontId="3" fillId="0" borderId="2" xfId="0" applyFont="1" applyBorder="1" applyAlignment="1">
      <alignment horizontal="left"/>
    </xf>
    <xf numFmtId="0" fontId="3" fillId="0" borderId="2" xfId="0" applyFont="1" applyBorder="1"/>
    <xf numFmtId="49" fontId="3" fillId="0" borderId="2" xfId="0" applyNumberFormat="1"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Border="1" applyAlignment="1">
      <alignment vertical="center" wrapText="1"/>
    </xf>
    <xf numFmtId="4" fontId="3" fillId="0" borderId="2" xfId="0" applyNumberFormat="1" applyFont="1" applyBorder="1" applyAlignment="1">
      <alignment vertical="center" wrapText="1"/>
    </xf>
    <xf numFmtId="49" fontId="3" fillId="0" borderId="2" xfId="0" applyNumberFormat="1" applyFont="1" applyBorder="1" applyAlignment="1">
      <alignment horizontal="left" vertical="center"/>
    </xf>
    <xf numFmtId="3" fontId="3" fillId="0" borderId="2" xfId="0" applyNumberFormat="1" applyFont="1" applyBorder="1" applyAlignment="1">
      <alignment vertical="center" wrapText="1"/>
    </xf>
    <xf numFmtId="0" fontId="2" fillId="0" borderId="2" xfId="0" applyFont="1" applyBorder="1"/>
    <xf numFmtId="0" fontId="2" fillId="0" borderId="2" xfId="0" applyFont="1" applyBorder="1" applyAlignment="1">
      <alignment vertical="center" wrapText="1"/>
    </xf>
    <xf numFmtId="9" fontId="3" fillId="0" borderId="2" xfId="0" applyNumberFormat="1" applyFont="1" applyBorder="1"/>
    <xf numFmtId="0" fontId="2" fillId="0" borderId="2" xfId="0" applyFont="1" applyBorder="1" applyAlignment="1">
      <alignment horizontal="right" vertical="center" wrapText="1"/>
    </xf>
    <xf numFmtId="4" fontId="3" fillId="0" borderId="2" xfId="0" applyNumberFormat="1" applyFont="1" applyBorder="1" applyAlignment="1">
      <alignment horizontal="right" vertical="center" wrapText="1"/>
    </xf>
    <xf numFmtId="49" fontId="4" fillId="0" borderId="2" xfId="0" applyNumberFormat="1" applyFont="1" applyBorder="1" applyAlignment="1">
      <alignment horizontal="left"/>
    </xf>
    <xf numFmtId="4" fontId="3" fillId="0" borderId="3" xfId="0" applyNumberFormat="1" applyFont="1" applyBorder="1" applyAlignment="1">
      <alignment horizontal="right" vertical="center" wrapText="1"/>
    </xf>
    <xf numFmtId="2" fontId="3" fillId="0" borderId="2" xfId="0" applyNumberFormat="1" applyFont="1" applyBorder="1"/>
    <xf numFmtId="9" fontId="3" fillId="0" borderId="2" xfId="2" applyFont="1" applyBorder="1"/>
    <xf numFmtId="0" fontId="10" fillId="0" borderId="0" xfId="0" applyFont="1" applyAlignment="1">
      <alignment vertical="top" wrapText="1"/>
    </xf>
    <xf numFmtId="3" fontId="3" fillId="0" borderId="4" xfId="0" applyNumberFormat="1" applyFont="1" applyBorder="1" applyAlignment="1">
      <alignment vertical="center" wrapText="1"/>
    </xf>
    <xf numFmtId="0" fontId="3" fillId="0" borderId="5" xfId="0" applyFont="1" applyBorder="1"/>
    <xf numFmtId="3" fontId="3" fillId="0" borderId="7" xfId="0" applyNumberFormat="1" applyFont="1" applyBorder="1" applyAlignment="1">
      <alignment vertical="center" wrapText="1"/>
    </xf>
    <xf numFmtId="164" fontId="2" fillId="0" borderId="9" xfId="0" applyNumberFormat="1" applyFont="1" applyBorder="1" applyAlignment="1">
      <alignment vertical="center" wrapText="1"/>
    </xf>
    <xf numFmtId="4" fontId="3" fillId="0" borderId="4" xfId="0" applyNumberFormat="1" applyFont="1" applyBorder="1" applyAlignment="1">
      <alignment horizontal="right" vertical="center" wrapText="1"/>
    </xf>
    <xf numFmtId="4" fontId="3" fillId="0" borderId="5" xfId="0" applyNumberFormat="1" applyFont="1" applyBorder="1" applyAlignment="1">
      <alignment horizontal="right" vertical="center" wrapText="1"/>
    </xf>
    <xf numFmtId="2" fontId="3" fillId="0" borderId="4" xfId="0" applyNumberFormat="1" applyFont="1" applyBorder="1"/>
    <xf numFmtId="2" fontId="3" fillId="0" borderId="5" xfId="0" applyNumberFormat="1" applyFont="1" applyBorder="1"/>
    <xf numFmtId="2" fontId="3" fillId="0" borderId="10" xfId="0" applyNumberFormat="1" applyFont="1" applyBorder="1"/>
    <xf numFmtId="2" fontId="3" fillId="0" borderId="3" xfId="0" applyNumberFormat="1" applyFont="1" applyBorder="1"/>
    <xf numFmtId="2" fontId="3" fillId="0" borderId="7" xfId="0" applyNumberFormat="1" applyFont="1" applyBorder="1"/>
    <xf numFmtId="165" fontId="3" fillId="0" borderId="8" xfId="1" applyNumberFormat="1" applyFont="1" applyBorder="1" applyAlignment="1">
      <alignment horizontal="right" vertical="center" wrapText="1"/>
    </xf>
    <xf numFmtId="165" fontId="3" fillId="0" borderId="12" xfId="1" applyNumberFormat="1" applyFont="1" applyBorder="1" applyAlignment="1">
      <alignment horizontal="right" vertical="center" wrapText="1"/>
    </xf>
    <xf numFmtId="165" fontId="3" fillId="0" borderId="13" xfId="1" applyNumberFormat="1" applyFont="1" applyBorder="1" applyAlignment="1">
      <alignment horizontal="right" vertical="center" wrapText="1"/>
    </xf>
    <xf numFmtId="165" fontId="3" fillId="2" borderId="0" xfId="1" applyNumberFormat="1" applyFont="1" applyFill="1" applyBorder="1" applyAlignment="1">
      <alignment horizontal="right" vertical="center" wrapText="1"/>
    </xf>
    <xf numFmtId="0" fontId="3" fillId="0" borderId="4" xfId="0" applyFont="1" applyBorder="1"/>
    <xf numFmtId="0" fontId="3" fillId="0" borderId="4" xfId="0" applyFont="1" applyBorder="1" applyAlignment="1">
      <alignment vertical="center" wrapText="1"/>
    </xf>
    <xf numFmtId="0" fontId="2" fillId="0" borderId="4" xfId="0" applyFont="1" applyBorder="1" applyAlignment="1">
      <alignment wrapText="1"/>
    </xf>
    <xf numFmtId="3" fontId="2" fillId="0" borderId="10" xfId="0" applyNumberFormat="1" applyFont="1" applyBorder="1" applyAlignment="1">
      <alignment vertical="center" wrapText="1"/>
    </xf>
    <xf numFmtId="0" fontId="3" fillId="0" borderId="3" xfId="0" applyFont="1" applyBorder="1"/>
    <xf numFmtId="49" fontId="4" fillId="0" borderId="2" xfId="0" applyNumberFormat="1" applyFont="1" applyBorder="1" applyAlignment="1">
      <alignment horizontal="left" vertical="center"/>
    </xf>
    <xf numFmtId="3" fontId="0" fillId="0" borderId="0" xfId="0" applyNumberFormat="1"/>
    <xf numFmtId="4" fontId="0" fillId="0" borderId="0" xfId="0" applyNumberFormat="1"/>
    <xf numFmtId="0" fontId="0" fillId="0" borderId="0" xfId="0" quotePrefix="1"/>
    <xf numFmtId="3" fontId="0" fillId="0" borderId="0" xfId="0" quotePrefix="1" applyNumberFormat="1"/>
    <xf numFmtId="0" fontId="16" fillId="0" borderId="0" xfId="0" applyFont="1"/>
    <xf numFmtId="0" fontId="3" fillId="0" borderId="2" xfId="0" applyFont="1" applyBorder="1" applyAlignment="1">
      <alignment horizontal="left" vertical="center"/>
    </xf>
    <xf numFmtId="4" fontId="3" fillId="0" borderId="2" xfId="0" applyNumberFormat="1" applyFont="1" applyBorder="1" applyAlignment="1">
      <alignment vertical="center"/>
    </xf>
    <xf numFmtId="3" fontId="3" fillId="0" borderId="2" xfId="0" applyNumberFormat="1" applyFont="1" applyBorder="1" applyAlignment="1">
      <alignment vertical="center"/>
    </xf>
    <xf numFmtId="0" fontId="5" fillId="3" borderId="0" xfId="0" applyFont="1" applyFill="1" applyAlignment="1">
      <alignment horizontal="left"/>
    </xf>
    <xf numFmtId="0" fontId="4" fillId="3" borderId="0" xfId="0" applyFont="1" applyFill="1" applyAlignment="1">
      <alignment horizontal="left"/>
    </xf>
    <xf numFmtId="49" fontId="4" fillId="3" borderId="0" xfId="0" applyNumberFormat="1" applyFont="1" applyFill="1" applyAlignment="1">
      <alignment horizontal="left"/>
    </xf>
    <xf numFmtId="0" fontId="3" fillId="3" borderId="0" xfId="0" applyFont="1" applyFill="1" applyAlignment="1">
      <alignment horizontal="left"/>
    </xf>
    <xf numFmtId="16" fontId="3" fillId="0" borderId="17" xfId="0" applyNumberFormat="1" applyFont="1" applyBorder="1" applyAlignment="1">
      <alignment horizontal="left" vertical="center" wrapText="1"/>
    </xf>
    <xf numFmtId="16" fontId="3" fillId="0" borderId="19" xfId="0" applyNumberFormat="1" applyFont="1" applyBorder="1" applyAlignment="1">
      <alignment horizontal="left" vertical="center" wrapText="1"/>
    </xf>
    <xf numFmtId="16" fontId="3" fillId="0" borderId="18" xfId="0" applyNumberFormat="1" applyFont="1" applyBorder="1" applyAlignment="1">
      <alignment horizontal="left" vertical="center" wrapText="1"/>
    </xf>
    <xf numFmtId="3" fontId="3" fillId="0" borderId="2" xfId="0" applyNumberFormat="1" applyFont="1" applyBorder="1" applyAlignment="1">
      <alignment horizontal="right" vertical="center" wrapText="1"/>
    </xf>
    <xf numFmtId="3" fontId="3" fillId="0" borderId="4" xfId="0" applyNumberFormat="1" applyFont="1" applyBorder="1" applyAlignment="1">
      <alignment horizontal="right" vertical="center" wrapText="1"/>
    </xf>
    <xf numFmtId="3" fontId="3" fillId="0" borderId="10" xfId="0" applyNumberFormat="1" applyFont="1" applyBorder="1" applyAlignment="1">
      <alignment horizontal="right" vertical="center" wrapText="1"/>
    </xf>
    <xf numFmtId="3" fontId="3" fillId="0" borderId="6" xfId="0" applyNumberFormat="1" applyFont="1" applyBorder="1" applyAlignment="1">
      <alignment horizontal="right" vertical="center" wrapText="1"/>
    </xf>
    <xf numFmtId="3" fontId="3" fillId="0" borderId="2" xfId="0" applyNumberFormat="1" applyFont="1" applyBorder="1" applyAlignment="1">
      <alignment vertical="top" wrapText="1"/>
    </xf>
    <xf numFmtId="3" fontId="3" fillId="0" borderId="7" xfId="0" applyNumberFormat="1" applyFont="1" applyBorder="1" applyAlignment="1">
      <alignment horizontal="right" vertical="center" wrapText="1"/>
    </xf>
    <xf numFmtId="3" fontId="3" fillId="0" borderId="11" xfId="0" applyNumberFormat="1" applyFont="1" applyBorder="1" applyAlignment="1">
      <alignment horizontal="right" vertical="center" wrapText="1"/>
    </xf>
    <xf numFmtId="3" fontId="3" fillId="0" borderId="9" xfId="0" applyNumberFormat="1" applyFont="1" applyBorder="1" applyAlignment="1">
      <alignment horizontal="right" vertical="center" wrapText="1"/>
    </xf>
    <xf numFmtId="0" fontId="3" fillId="0" borderId="0" xfId="0" quotePrefix="1" applyFont="1" applyAlignment="1">
      <alignment vertical="top"/>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left" vertical="center"/>
    </xf>
    <xf numFmtId="165" fontId="3" fillId="0" borderId="0" xfId="1" applyNumberFormat="1" applyFont="1" applyFill="1" applyBorder="1" applyAlignment="1">
      <alignment horizontal="right" vertical="center" wrapText="1"/>
    </xf>
    <xf numFmtId="165" fontId="3" fillId="0" borderId="12" xfId="1" applyNumberFormat="1" applyFont="1" applyFill="1" applyBorder="1" applyAlignment="1">
      <alignment horizontal="right" vertical="center" wrapText="1"/>
    </xf>
    <xf numFmtId="16" fontId="3" fillId="0" borderId="22" xfId="0" applyNumberFormat="1" applyFont="1" applyBorder="1" applyAlignment="1">
      <alignment horizontal="left" vertical="center" wrapText="1"/>
    </xf>
    <xf numFmtId="0" fontId="2" fillId="0" borderId="25" xfId="0" applyFont="1" applyBorder="1"/>
    <xf numFmtId="0" fontId="3" fillId="0" borderId="20" xfId="0" applyFont="1" applyBorder="1"/>
    <xf numFmtId="0" fontId="5" fillId="0" borderId="20" xfId="0" applyFont="1" applyBorder="1" applyAlignment="1">
      <alignment horizontal="left"/>
    </xf>
    <xf numFmtId="0" fontId="3" fillId="0" borderId="20" xfId="0" applyFont="1" applyBorder="1" applyAlignment="1">
      <alignment horizontal="left"/>
    </xf>
    <xf numFmtId="0" fontId="3" fillId="0" borderId="26" xfId="0" applyFont="1" applyBorder="1"/>
    <xf numFmtId="0" fontId="6" fillId="0" borderId="27" xfId="0" applyFont="1" applyBorder="1"/>
    <xf numFmtId="0" fontId="3" fillId="0" borderId="28" xfId="0" applyFont="1" applyBorder="1"/>
    <xf numFmtId="0" fontId="3" fillId="0" borderId="27" xfId="0" applyFont="1" applyBorder="1"/>
    <xf numFmtId="0" fontId="2" fillId="0" borderId="27" xfId="0" applyFont="1" applyBorder="1"/>
    <xf numFmtId="0" fontId="3" fillId="0" borderId="29" xfId="0" applyFont="1" applyBorder="1"/>
    <xf numFmtId="0" fontId="3" fillId="0" borderId="30" xfId="0" applyFont="1" applyBorder="1"/>
    <xf numFmtId="0" fontId="3" fillId="0" borderId="31" xfId="0" applyFont="1" applyBorder="1"/>
    <xf numFmtId="0" fontId="3" fillId="0" borderId="1" xfId="0" applyFont="1" applyBorder="1" applyAlignment="1">
      <alignment horizontal="left"/>
    </xf>
    <xf numFmtId="0" fontId="5" fillId="0" borderId="26" xfId="0" applyFont="1" applyBorder="1" applyAlignment="1">
      <alignment horizontal="left"/>
    </xf>
    <xf numFmtId="0" fontId="5" fillId="0" borderId="28" xfId="0" applyFont="1" applyBorder="1" applyAlignment="1">
      <alignment horizontal="left"/>
    </xf>
    <xf numFmtId="0" fontId="4" fillId="0" borderId="28" xfId="0" applyFont="1" applyBorder="1" applyAlignment="1">
      <alignment horizontal="left"/>
    </xf>
    <xf numFmtId="49" fontId="4" fillId="0" borderId="28" xfId="0" applyNumberFormat="1" applyFont="1" applyBorder="1" applyAlignment="1">
      <alignment horizontal="left"/>
    </xf>
    <xf numFmtId="0" fontId="3" fillId="0" borderId="25" xfId="0" applyFont="1" applyBorder="1"/>
    <xf numFmtId="0" fontId="3" fillId="0" borderId="20" xfId="0" applyFont="1" applyBorder="1" applyAlignment="1">
      <alignment horizontal="left" vertical="center" wrapText="1"/>
    </xf>
    <xf numFmtId="0" fontId="3" fillId="0" borderId="27" xfId="0" applyFont="1" applyBorder="1" applyAlignment="1">
      <alignment horizontal="left" vertical="center" wrapText="1"/>
    </xf>
    <xf numFmtId="0" fontId="3" fillId="0" borderId="27" xfId="0" applyFont="1" applyBorder="1" applyAlignment="1">
      <alignment vertical="center"/>
    </xf>
    <xf numFmtId="0" fontId="7" fillId="0" borderId="0" xfId="0" applyFont="1" applyAlignment="1">
      <alignment vertical="center" wrapText="1"/>
    </xf>
    <xf numFmtId="0" fontId="7" fillId="0" borderId="27" xfId="0" applyFont="1" applyBorder="1" applyAlignment="1">
      <alignment vertical="center" wrapText="1"/>
    </xf>
    <xf numFmtId="0" fontId="3" fillId="0" borderId="25" xfId="0" applyFont="1" applyBorder="1" applyAlignment="1">
      <alignment vertical="center"/>
    </xf>
    <xf numFmtId="0" fontId="7" fillId="0" borderId="20" xfId="0" applyFont="1" applyBorder="1" applyAlignment="1">
      <alignment vertical="center" wrapText="1"/>
    </xf>
    <xf numFmtId="0" fontId="10" fillId="0" borderId="27" xfId="0" applyFont="1" applyBorder="1" applyAlignment="1">
      <alignment vertical="center"/>
    </xf>
    <xf numFmtId="0" fontId="11" fillId="0" borderId="0" xfId="0" applyFont="1" applyAlignment="1">
      <alignment horizontal="left" vertical="center" wrapText="1"/>
    </xf>
    <xf numFmtId="0" fontId="11" fillId="0" borderId="28" xfId="0" applyFont="1" applyBorder="1" applyAlignment="1">
      <alignment horizontal="left" vertical="center" wrapText="1"/>
    </xf>
    <xf numFmtId="0" fontId="12" fillId="0" borderId="27" xfId="0" applyFont="1" applyBorder="1" applyAlignment="1">
      <alignment vertical="center"/>
    </xf>
    <xf numFmtId="0" fontId="2" fillId="0" borderId="20" xfId="0" applyFont="1" applyBorder="1" applyAlignment="1">
      <alignment vertical="center"/>
    </xf>
    <xf numFmtId="0" fontId="19" fillId="0" borderId="0" xfId="0" applyFont="1"/>
    <xf numFmtId="3" fontId="19" fillId="0" borderId="0" xfId="0" applyNumberFormat="1" applyFont="1"/>
    <xf numFmtId="9" fontId="19" fillId="0" borderId="0" xfId="0" applyNumberFormat="1" applyFont="1"/>
    <xf numFmtId="4" fontId="19" fillId="0" borderId="0" xfId="0" applyNumberFormat="1" applyFont="1"/>
    <xf numFmtId="0" fontId="16" fillId="0" borderId="0" xfId="0" applyFont="1" applyAlignment="1">
      <alignment horizontal="right" vertical="center"/>
    </xf>
    <xf numFmtId="0" fontId="21" fillId="0" borderId="0" xfId="0" applyFont="1"/>
    <xf numFmtId="3" fontId="21" fillId="0" borderId="0" xfId="0" applyNumberFormat="1" applyFont="1"/>
    <xf numFmtId="4" fontId="21" fillId="0" borderId="0" xfId="0" applyNumberFormat="1" applyFont="1"/>
    <xf numFmtId="0" fontId="2" fillId="0" borderId="28" xfId="0" applyFont="1" applyBorder="1"/>
    <xf numFmtId="0" fontId="3" fillId="0" borderId="27" xfId="0" applyFont="1" applyBorder="1" applyAlignment="1">
      <alignment horizontal="left" vertical="center"/>
    </xf>
    <xf numFmtId="0" fontId="3" fillId="0" borderId="28" xfId="0" applyFont="1" applyBorder="1" applyAlignment="1">
      <alignment horizontal="left" vertical="center" wrapText="1"/>
    </xf>
    <xf numFmtId="0" fontId="10" fillId="0" borderId="28" xfId="0" applyFont="1" applyBorder="1" applyAlignment="1">
      <alignment vertical="center" wrapText="1"/>
    </xf>
    <xf numFmtId="0" fontId="3" fillId="0" borderId="25" xfId="0" applyFont="1" applyBorder="1" applyAlignment="1">
      <alignment horizontal="left" vertical="center"/>
    </xf>
    <xf numFmtId="0" fontId="3" fillId="0" borderId="26" xfId="0" applyFont="1" applyBorder="1" applyAlignment="1">
      <alignment horizontal="left" vertical="center" wrapText="1"/>
    </xf>
    <xf numFmtId="0" fontId="10" fillId="0" borderId="20" xfId="0" applyFont="1" applyBorder="1" applyAlignment="1">
      <alignment vertical="center" wrapText="1"/>
    </xf>
    <xf numFmtId="0" fontId="10" fillId="0" borderId="26" xfId="0" applyFont="1" applyBorder="1" applyAlignment="1">
      <alignment vertical="center" wrapText="1"/>
    </xf>
    <xf numFmtId="0" fontId="2" fillId="0" borderId="27" xfId="0" applyFont="1" applyBorder="1" applyAlignment="1">
      <alignment vertical="center"/>
    </xf>
    <xf numFmtId="9" fontId="3" fillId="0" borderId="0" xfId="2" applyFont="1" applyBorder="1"/>
    <xf numFmtId="4" fontId="3" fillId="0" borderId="0" xfId="0" applyNumberFormat="1" applyFont="1"/>
    <xf numFmtId="0" fontId="3" fillId="0" borderId="27" xfId="0" applyFont="1" applyBorder="1" applyAlignment="1">
      <alignment vertical="center" wrapText="1"/>
    </xf>
    <xf numFmtId="0" fontId="3" fillId="0" borderId="0" xfId="0" applyFont="1" applyAlignment="1">
      <alignment horizontal="center" vertical="center" wrapText="1"/>
    </xf>
    <xf numFmtId="164" fontId="3" fillId="0" borderId="0" xfId="0" applyNumberFormat="1" applyFont="1" applyAlignment="1">
      <alignment wrapText="1"/>
    </xf>
    <xf numFmtId="1" fontId="3" fillId="0" borderId="0" xfId="0" applyNumberFormat="1" applyFont="1" applyAlignment="1">
      <alignment horizontal="center" vertical="center" wrapText="1"/>
    </xf>
    <xf numFmtId="0" fontId="4" fillId="0" borderId="0" xfId="0" applyFont="1" applyAlignment="1">
      <alignment horizontal="left" vertical="center" wrapText="1"/>
    </xf>
    <xf numFmtId="10" fontId="3" fillId="0" borderId="0" xfId="2" applyNumberFormat="1"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10" fillId="0" borderId="28"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vertical="center"/>
    </xf>
    <xf numFmtId="0" fontId="2" fillId="0" borderId="25" xfId="0" applyFont="1" applyBorder="1" applyAlignment="1">
      <alignment vertical="center"/>
    </xf>
    <xf numFmtId="164" fontId="3" fillId="0" borderId="32" xfId="0" applyNumberFormat="1" applyFont="1" applyBorder="1"/>
    <xf numFmtId="164" fontId="3" fillId="0" borderId="20" xfId="0" applyNumberFormat="1" applyFont="1" applyBorder="1"/>
    <xf numFmtId="0" fontId="3" fillId="0" borderId="20" xfId="0" applyFont="1" applyBorder="1" applyAlignment="1">
      <alignment horizontal="center" vertical="center"/>
    </xf>
    <xf numFmtId="0" fontId="6" fillId="0" borderId="20" xfId="0" applyFont="1" applyBorder="1"/>
    <xf numFmtId="0" fontId="6" fillId="0" borderId="20" xfId="0" applyFont="1" applyBorder="1" applyAlignment="1">
      <alignment wrapText="1"/>
    </xf>
    <xf numFmtId="164" fontId="3" fillId="0" borderId="27" xfId="0" applyNumberFormat="1" applyFont="1" applyBorder="1"/>
    <xf numFmtId="0" fontId="4" fillId="0" borderId="27" xfId="0" applyFont="1" applyBorder="1" applyAlignment="1">
      <alignment vertical="center"/>
    </xf>
    <xf numFmtId="0" fontId="10" fillId="0" borderId="0" xfId="0" applyFont="1" applyAlignment="1">
      <alignment vertical="center"/>
    </xf>
    <xf numFmtId="49" fontId="2" fillId="0" borderId="25" xfId="0" applyNumberFormat="1" applyFont="1" applyBorder="1" applyAlignment="1">
      <alignment horizontal="left" vertical="top"/>
    </xf>
    <xf numFmtId="0" fontId="2" fillId="0" borderId="27" xfId="0" applyFont="1" applyBorder="1" applyAlignment="1">
      <alignment vertical="top"/>
    </xf>
    <xf numFmtId="0" fontId="2" fillId="0" borderId="27" xfId="0" applyFont="1" applyBorder="1" applyAlignment="1">
      <alignment horizontal="left" vertical="top" wrapText="1"/>
    </xf>
    <xf numFmtId="0" fontId="2" fillId="0" borderId="0" xfId="0" applyFont="1" applyAlignment="1">
      <alignment horizontal="center"/>
    </xf>
    <xf numFmtId="0" fontId="3" fillId="0" borderId="27" xfId="0" applyFont="1" applyBorder="1" applyAlignment="1">
      <alignment horizontal="justify" vertical="top" wrapText="1"/>
    </xf>
    <xf numFmtId="0" fontId="3" fillId="0" borderId="27" xfId="0" applyFont="1" applyBorder="1" applyAlignment="1">
      <alignment horizontal="left" vertical="top" wrapText="1"/>
    </xf>
    <xf numFmtId="0" fontId="3" fillId="2" borderId="0" xfId="0" applyFont="1" applyFill="1"/>
    <xf numFmtId="49" fontId="5" fillId="0" borderId="28" xfId="0" applyNumberFormat="1" applyFont="1" applyBorder="1" applyAlignment="1">
      <alignment horizontal="left"/>
    </xf>
    <xf numFmtId="0" fontId="3" fillId="0" borderId="27" xfId="0" applyFont="1" applyBorder="1" applyAlignment="1">
      <alignment vertical="top"/>
    </xf>
    <xf numFmtId="0" fontId="3" fillId="0" borderId="27" xfId="0" applyFont="1" applyBorder="1" applyAlignment="1">
      <alignment horizontal="left"/>
    </xf>
    <xf numFmtId="0" fontId="3" fillId="0" borderId="28" xfId="0" applyFont="1" applyBorder="1" applyAlignment="1">
      <alignment horizontal="left"/>
    </xf>
    <xf numFmtId="0" fontId="3" fillId="0" borderId="27" xfId="0" applyFont="1" applyBorder="1" applyAlignment="1">
      <alignment horizontal="left" wrapText="1"/>
    </xf>
    <xf numFmtId="0" fontId="4" fillId="0" borderId="0" xfId="0" applyFont="1" applyAlignment="1">
      <alignment vertical="center"/>
    </xf>
    <xf numFmtId="0" fontId="3" fillId="0" borderId="25" xfId="0" quotePrefix="1" applyFont="1" applyBorder="1" applyAlignment="1">
      <alignment vertical="top"/>
    </xf>
    <xf numFmtId="165" fontId="3" fillId="0" borderId="20" xfId="1" applyNumberFormat="1" applyFont="1" applyBorder="1" applyAlignment="1">
      <alignment horizontal="right" vertical="center" wrapText="1"/>
    </xf>
    <xf numFmtId="0" fontId="3" fillId="0" borderId="20" xfId="0" applyFont="1" applyBorder="1" applyAlignment="1">
      <alignment horizontal="left" vertical="center"/>
    </xf>
    <xf numFmtId="0" fontId="2" fillId="0" borderId="25" xfId="0" applyFont="1" applyBorder="1" applyAlignment="1">
      <alignment vertical="top"/>
    </xf>
    <xf numFmtId="49" fontId="2" fillId="0" borderId="25" xfId="0" applyNumberFormat="1" applyFont="1" applyBorder="1" applyAlignment="1">
      <alignment horizontal="left"/>
    </xf>
    <xf numFmtId="0" fontId="2" fillId="0" borderId="27" xfId="0" applyFont="1" applyBorder="1" applyAlignment="1">
      <alignment horizontal="left" vertical="center" wrapText="1"/>
    </xf>
    <xf numFmtId="164" fontId="3" fillId="0" borderId="0" xfId="0" applyNumberFormat="1" applyFont="1" applyAlignment="1">
      <alignment horizontal="center" vertical="center"/>
    </xf>
    <xf numFmtId="0" fontId="5" fillId="0" borderId="0" xfId="0" applyFont="1" applyAlignment="1">
      <alignment horizontal="left" vertical="center"/>
    </xf>
    <xf numFmtId="0" fontId="3" fillId="0" borderId="28" xfId="0" applyFont="1" applyBorder="1" applyAlignment="1">
      <alignment vertical="center" wrapText="1"/>
    </xf>
    <xf numFmtId="165" fontId="3" fillId="0" borderId="1" xfId="1" applyNumberFormat="1" applyFont="1" applyBorder="1" applyAlignment="1">
      <alignment horizontal="center" vertical="center" wrapText="1"/>
    </xf>
    <xf numFmtId="0" fontId="5" fillId="0" borderId="1" xfId="0" applyFont="1" applyBorder="1" applyAlignment="1">
      <alignment horizontal="left" vertical="center"/>
    </xf>
    <xf numFmtId="4" fontId="3" fillId="0" borderId="20" xfId="0" applyNumberFormat="1" applyFont="1" applyBorder="1"/>
    <xf numFmtId="0" fontId="6" fillId="0" borderId="0" xfId="0" applyFont="1"/>
    <xf numFmtId="165" fontId="3" fillId="0" borderId="0" xfId="0" applyNumberFormat="1" applyFont="1"/>
    <xf numFmtId="165" fontId="3" fillId="0" borderId="0" xfId="0" applyNumberFormat="1" applyFont="1" applyAlignment="1">
      <alignment horizontal="center" vertical="center"/>
    </xf>
    <xf numFmtId="0" fontId="7" fillId="0" borderId="27" xfId="0" applyFont="1" applyBorder="1" applyAlignment="1">
      <alignment vertical="center"/>
    </xf>
    <xf numFmtId="0" fontId="8" fillId="0" borderId="27" xfId="0" applyFont="1" applyBorder="1"/>
    <xf numFmtId="0" fontId="13" fillId="0" borderId="29" xfId="0" applyFont="1" applyBorder="1" applyAlignment="1">
      <alignment vertical="center"/>
    </xf>
    <xf numFmtId="165" fontId="3" fillId="0" borderId="13" xfId="1" applyNumberFormat="1" applyFont="1" applyFill="1" applyBorder="1" applyAlignment="1">
      <alignment horizontal="right" vertical="center" wrapText="1"/>
    </xf>
    <xf numFmtId="0" fontId="3" fillId="0" borderId="0" xfId="0" quotePrefix="1" applyFont="1" applyAlignment="1">
      <alignment vertical="center" wrapText="1"/>
    </xf>
    <xf numFmtId="0" fontId="3" fillId="0" borderId="0" xfId="0" applyFont="1" applyAlignment="1">
      <alignment vertical="center" wrapText="1"/>
    </xf>
    <xf numFmtId="0" fontId="3" fillId="0" borderId="15" xfId="0" applyFont="1" applyBorder="1" applyAlignment="1">
      <alignment vertical="center" wrapText="1"/>
    </xf>
    <xf numFmtId="0" fontId="17" fillId="0" borderId="23" xfId="0" applyFont="1" applyBorder="1" applyAlignment="1">
      <alignment vertical="top" wrapText="1"/>
    </xf>
    <xf numFmtId="0" fontId="17" fillId="0" borderId="24" xfId="0" applyFont="1" applyBorder="1" applyAlignment="1">
      <alignment vertical="top" wrapText="1"/>
    </xf>
    <xf numFmtId="0" fontId="3" fillId="0" borderId="0" xfId="0" applyFont="1" applyAlignment="1">
      <alignment vertical="center"/>
    </xf>
    <xf numFmtId="0" fontId="3" fillId="0" borderId="0" xfId="0" applyFont="1" applyAlignment="1">
      <alignment vertical="top" wrapText="1"/>
    </xf>
    <xf numFmtId="0" fontId="3" fillId="0" borderId="16" xfId="0" applyFont="1" applyBorder="1" applyAlignment="1">
      <alignment vertical="center" wrapText="1"/>
    </xf>
    <xf numFmtId="0" fontId="3" fillId="0" borderId="14"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3" fillId="0" borderId="15" xfId="0" quotePrefix="1" applyFont="1" applyBorder="1" applyAlignment="1">
      <alignment vertical="center" wrapText="1"/>
    </xf>
    <xf numFmtId="0" fontId="2" fillId="0" borderId="2" xfId="0" applyFont="1" applyBorder="1" applyAlignment="1">
      <alignment horizontal="left" wrapText="1"/>
    </xf>
    <xf numFmtId="0" fontId="3" fillId="0" borderId="0" xfId="0" applyFont="1" applyAlignment="1">
      <alignment horizontal="left" vertical="center" wrapText="1"/>
    </xf>
    <xf numFmtId="0" fontId="3" fillId="0" borderId="28" xfId="0" applyFont="1" applyBorder="1" applyAlignment="1">
      <alignment horizontal="left" vertical="center" wrapText="1"/>
    </xf>
    <xf numFmtId="0" fontId="3" fillId="0" borderId="1" xfId="0" applyFont="1" applyBorder="1" applyAlignment="1">
      <alignment horizontal="left" vertical="center" wrapText="1"/>
    </xf>
    <xf numFmtId="0" fontId="3" fillId="0" borderId="30" xfId="0" applyFont="1" applyBorder="1" applyAlignment="1">
      <alignment horizontal="left" vertical="center" wrapText="1"/>
    </xf>
    <xf numFmtId="0" fontId="3" fillId="0" borderId="27" xfId="0" applyFont="1" applyBorder="1" applyAlignment="1">
      <alignment horizontal="left" vertical="center" wrapText="1"/>
    </xf>
    <xf numFmtId="0" fontId="11" fillId="0" borderId="0" xfId="0" applyFont="1" applyAlignment="1">
      <alignment horizontal="left" vertical="center" wrapText="1"/>
    </xf>
    <xf numFmtId="0" fontId="11" fillId="0" borderId="28" xfId="0" applyFont="1" applyBorder="1" applyAlignment="1">
      <alignment horizontal="left" vertical="center" wrapText="1"/>
    </xf>
    <xf numFmtId="0" fontId="3" fillId="0" borderId="0" xfId="0" applyFont="1" applyAlignment="1">
      <alignment horizontal="left" wrapText="1"/>
    </xf>
    <xf numFmtId="0" fontId="3" fillId="0" borderId="28" xfId="0" applyFont="1" applyBorder="1" applyAlignment="1">
      <alignment horizontal="left" wrapText="1"/>
    </xf>
    <xf numFmtId="0" fontId="2" fillId="0" borderId="2" xfId="0" applyFont="1" applyBorder="1" applyAlignment="1">
      <alignment vertical="center" wrapText="1"/>
    </xf>
    <xf numFmtId="0" fontId="10" fillId="0" borderId="0" xfId="0" applyFont="1" applyAlignment="1">
      <alignment horizontal="left" vertical="center" wrapText="1"/>
    </xf>
    <xf numFmtId="0" fontId="10" fillId="0" borderId="28" xfId="0" applyFont="1" applyBorder="1" applyAlignment="1">
      <alignment horizontal="left" vertical="center" wrapText="1"/>
    </xf>
    <xf numFmtId="0" fontId="10" fillId="0" borderId="1" xfId="0" applyFont="1" applyBorder="1" applyAlignment="1">
      <alignment horizontal="left" vertical="center" wrapText="1"/>
    </xf>
    <xf numFmtId="0" fontId="10" fillId="0" borderId="30" xfId="0" applyFont="1" applyBorder="1" applyAlignment="1">
      <alignment horizontal="left" vertical="center" wrapText="1"/>
    </xf>
    <xf numFmtId="0" fontId="10" fillId="0" borderId="20" xfId="0" applyFont="1" applyBorder="1" applyAlignment="1">
      <alignment horizontal="left" vertical="center"/>
    </xf>
    <xf numFmtId="0" fontId="10" fillId="0" borderId="26" xfId="0" applyFont="1" applyBorder="1" applyAlignment="1">
      <alignment horizontal="left" vertical="center"/>
    </xf>
    <xf numFmtId="49" fontId="4" fillId="0" borderId="20" xfId="0" applyNumberFormat="1" applyFont="1" applyBorder="1" applyAlignment="1">
      <alignment horizontal="left" vertical="center"/>
    </xf>
    <xf numFmtId="49" fontId="4" fillId="0" borderId="0" xfId="0" applyNumberFormat="1" applyFont="1" applyAlignment="1">
      <alignment horizontal="left" vertical="center"/>
    </xf>
    <xf numFmtId="0" fontId="3" fillId="0" borderId="0" xfId="0" applyFont="1" applyAlignment="1">
      <alignment horizontal="left"/>
    </xf>
    <xf numFmtId="0" fontId="3" fillId="0" borderId="28" xfId="0" applyFont="1" applyBorder="1" applyAlignment="1">
      <alignment horizontal="left"/>
    </xf>
    <xf numFmtId="0" fontId="10" fillId="0" borderId="0" xfId="0" applyFont="1" applyAlignment="1">
      <alignment horizontal="left" vertical="center"/>
    </xf>
    <xf numFmtId="0" fontId="10" fillId="0" borderId="28" xfId="0" applyFont="1" applyBorder="1" applyAlignment="1">
      <alignment horizontal="left" vertical="center"/>
    </xf>
    <xf numFmtId="0" fontId="10" fillId="0" borderId="25" xfId="0" applyFont="1" applyBorder="1" applyAlignment="1">
      <alignment horizontal="left" vertical="center" wrapText="1"/>
    </xf>
    <xf numFmtId="0" fontId="10" fillId="0" borderId="20" xfId="0" applyFont="1" applyBorder="1" applyAlignment="1">
      <alignment horizontal="left" vertical="center" wrapText="1"/>
    </xf>
    <xf numFmtId="0" fontId="10" fillId="0" borderId="26" xfId="0" applyFont="1" applyBorder="1" applyAlignment="1">
      <alignment horizontal="left" vertical="center" wrapText="1"/>
    </xf>
    <xf numFmtId="0" fontId="4" fillId="0" borderId="20" xfId="0" applyFont="1" applyBorder="1" applyAlignment="1">
      <alignment horizontal="left" vertical="center"/>
    </xf>
    <xf numFmtId="0" fontId="4" fillId="0" borderId="0" xfId="0" applyFont="1" applyAlignment="1">
      <alignment horizontal="left" vertical="center"/>
    </xf>
    <xf numFmtId="0" fontId="3" fillId="0" borderId="20" xfId="0" applyFont="1" applyBorder="1" applyAlignment="1">
      <alignment horizontal="left" vertical="center"/>
    </xf>
    <xf numFmtId="0" fontId="3" fillId="0" borderId="0" xfId="0" applyFont="1" applyAlignment="1">
      <alignment horizontal="left" vertical="center"/>
    </xf>
    <xf numFmtId="9" fontId="3" fillId="0" borderId="20" xfId="2" applyFont="1" applyBorder="1" applyAlignment="1">
      <alignment horizontal="center" vertical="center"/>
    </xf>
    <xf numFmtId="9" fontId="3" fillId="0" borderId="0" xfId="2" applyFont="1" applyBorder="1" applyAlignment="1">
      <alignment horizontal="center" vertical="center"/>
    </xf>
    <xf numFmtId="10" fontId="3" fillId="0" borderId="20" xfId="2" applyNumberFormat="1" applyFont="1" applyBorder="1" applyAlignment="1">
      <alignment horizontal="center" vertical="center"/>
    </xf>
    <xf numFmtId="10" fontId="3" fillId="0" borderId="0" xfId="2" applyNumberFormat="1" applyFont="1" applyBorder="1" applyAlignment="1">
      <alignment horizontal="center" vertical="center"/>
    </xf>
    <xf numFmtId="2" fontId="3" fillId="0" borderId="20" xfId="0" applyNumberFormat="1" applyFont="1" applyBorder="1" applyAlignment="1">
      <alignment horizontal="center" vertical="center"/>
    </xf>
    <xf numFmtId="2" fontId="3" fillId="0" borderId="0" xfId="0" applyNumberFormat="1" applyFont="1" applyAlignment="1">
      <alignment horizontal="center" vertical="center"/>
    </xf>
    <xf numFmtId="0" fontId="3" fillId="0" borderId="27" xfId="0" applyFont="1" applyBorder="1" applyAlignment="1">
      <alignment horizontal="left"/>
    </xf>
    <xf numFmtId="0" fontId="3" fillId="0" borderId="20" xfId="0" applyFont="1" applyBorder="1" applyAlignment="1">
      <alignment horizontal="center" vertical="center"/>
    </xf>
    <xf numFmtId="0" fontId="3" fillId="0" borderId="0" xfId="0" applyFont="1" applyAlignment="1">
      <alignment horizontal="center" vertical="center"/>
    </xf>
    <xf numFmtId="0" fontId="2" fillId="0" borderId="25" xfId="0" applyFont="1" applyBorder="1" applyAlignment="1">
      <alignment horizontal="left" vertical="center" wrapText="1"/>
    </xf>
    <xf numFmtId="0" fontId="2" fillId="0" borderId="27" xfId="0" applyFont="1" applyBorder="1" applyAlignment="1">
      <alignment horizontal="left" vertical="center" wrapText="1"/>
    </xf>
    <xf numFmtId="0" fontId="3" fillId="0" borderId="29" xfId="0" applyFont="1" applyBorder="1" applyAlignment="1">
      <alignment horizontal="left" wrapText="1"/>
    </xf>
    <xf numFmtId="0" fontId="3" fillId="0" borderId="1" xfId="0" applyFont="1" applyBorder="1" applyAlignment="1">
      <alignment horizontal="left" wrapText="1"/>
    </xf>
    <xf numFmtId="0" fontId="3" fillId="0" borderId="27" xfId="0" applyFont="1" applyBorder="1" applyAlignment="1">
      <alignment horizontal="left" vertical="top" wrapText="1"/>
    </xf>
    <xf numFmtId="0" fontId="3" fillId="0" borderId="0" xfId="0" applyFont="1" applyAlignment="1">
      <alignment horizontal="left" vertical="top" wrapText="1"/>
    </xf>
    <xf numFmtId="0" fontId="3" fillId="0" borderId="27" xfId="0" applyFont="1" applyBorder="1" applyAlignment="1">
      <alignment horizontal="left" vertical="center"/>
    </xf>
    <xf numFmtId="0" fontId="3" fillId="0" borderId="27" xfId="0" applyFont="1" applyBorder="1" applyAlignment="1">
      <alignment horizontal="left" wrapText="1"/>
    </xf>
    <xf numFmtId="0" fontId="10" fillId="0" borderId="27" xfId="0" applyFont="1" applyBorder="1" applyAlignment="1">
      <alignment horizontal="left" vertical="top" wrapText="1"/>
    </xf>
    <xf numFmtId="0" fontId="10" fillId="0" borderId="0" xfId="0" applyFont="1" applyAlignment="1">
      <alignment horizontal="left" vertical="top" wrapText="1"/>
    </xf>
    <xf numFmtId="0" fontId="10" fillId="0" borderId="28" xfId="0" applyFont="1" applyBorder="1" applyAlignment="1">
      <alignment horizontal="left" vertical="top" wrapText="1"/>
    </xf>
    <xf numFmtId="164" fontId="3" fillId="0" borderId="0" xfId="0" applyNumberFormat="1" applyFont="1" applyAlignment="1">
      <alignment horizontal="center" vertical="center"/>
    </xf>
    <xf numFmtId="165" fontId="3" fillId="0" borderId="0" xfId="1" applyNumberFormat="1" applyFont="1" applyBorder="1" applyAlignment="1">
      <alignment horizontal="center" vertical="center" wrapText="1"/>
    </xf>
    <xf numFmtId="0" fontId="2" fillId="0" borderId="0" xfId="0" applyFont="1" applyAlignment="1">
      <alignment horizontal="lef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xdr:col>
      <xdr:colOff>19050</xdr:colOff>
      <xdr:row>19</xdr:row>
      <xdr:rowOff>95250</xdr:rowOff>
    </xdr:from>
    <xdr:to>
      <xdr:col>3</xdr:col>
      <xdr:colOff>355600</xdr:colOff>
      <xdr:row>19</xdr:row>
      <xdr:rowOff>95250</xdr:rowOff>
    </xdr:to>
    <xdr:cxnSp macro="">
      <xdr:nvCxnSpPr>
        <xdr:cNvPr id="3" name="Straight Arrow Connector 2">
          <a:extLst>
            <a:ext uri="{FF2B5EF4-FFF2-40B4-BE49-F238E27FC236}">
              <a16:creationId xmlns:a16="http://schemas.microsoft.com/office/drawing/2014/main" id="{6BA9A2A5-8C1E-3118-E1F8-3CED5B698D18}"/>
            </a:ext>
          </a:extLst>
        </xdr:cNvPr>
        <xdr:cNvCxnSpPr/>
      </xdr:nvCxnSpPr>
      <xdr:spPr>
        <a:xfrm>
          <a:off x="2324100" y="3556000"/>
          <a:ext cx="78740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44450</xdr:colOff>
      <xdr:row>18</xdr:row>
      <xdr:rowOff>101600</xdr:rowOff>
    </xdr:from>
    <xdr:to>
      <xdr:col>5</xdr:col>
      <xdr:colOff>330200</xdr:colOff>
      <xdr:row>18</xdr:row>
      <xdr:rowOff>101600</xdr:rowOff>
    </xdr:to>
    <xdr:cxnSp macro="">
      <xdr:nvCxnSpPr>
        <xdr:cNvPr id="4" name="Straight Arrow Connector 3">
          <a:extLst>
            <a:ext uri="{FF2B5EF4-FFF2-40B4-BE49-F238E27FC236}">
              <a16:creationId xmlns:a16="http://schemas.microsoft.com/office/drawing/2014/main" id="{5E335CCF-685A-45C8-9437-23C81FA63FBD}"/>
            </a:ext>
          </a:extLst>
        </xdr:cNvPr>
        <xdr:cNvCxnSpPr/>
      </xdr:nvCxnSpPr>
      <xdr:spPr>
        <a:xfrm>
          <a:off x="3587750" y="3384550"/>
          <a:ext cx="787400" cy="0"/>
        </a:xfrm>
        <a:prstGeom prst="straightConnector1">
          <a:avLst/>
        </a:prstGeom>
        <a:ln w="12700">
          <a:solidFill>
            <a:schemeClr val="tx1"/>
          </a:solidFill>
          <a:headEnd type="triangle"/>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C7FC7-9180-4C49-BC99-64761956D614}">
  <sheetPr>
    <pageSetUpPr fitToPage="1"/>
  </sheetPr>
  <dimension ref="A1:Q63"/>
  <sheetViews>
    <sheetView workbookViewId="0"/>
  </sheetViews>
  <sheetFormatPr defaultColWidth="9.1796875" defaultRowHeight="14" x14ac:dyDescent="0.3"/>
  <cols>
    <col min="1" max="1" width="8.453125" style="9" customWidth="1"/>
    <col min="2" max="2" width="19.453125" style="8" bestFit="1" customWidth="1"/>
    <col min="3" max="3" width="9" style="2" customWidth="1"/>
    <col min="4" max="4" width="9.1796875" style="2" customWidth="1"/>
    <col min="5" max="5" width="9.7265625" style="2" customWidth="1"/>
    <col min="6" max="6" width="2.54296875" style="8" bestFit="1" customWidth="1"/>
    <col min="7" max="7" width="3.54296875" style="20" customWidth="1"/>
    <col min="8" max="8" width="1.54296875" style="20" customWidth="1"/>
    <col min="9" max="9" width="0.1796875" style="20" customWidth="1"/>
    <col min="10" max="10" width="1.54296875" style="8" customWidth="1"/>
    <col min="11" max="11" width="7.1796875" style="8" customWidth="1"/>
    <col min="12" max="12" width="18.1796875" style="8" bestFit="1" customWidth="1"/>
    <col min="13" max="14" width="9.1796875" style="8"/>
    <col min="15" max="15" width="9.54296875" style="8" customWidth="1"/>
    <col min="16" max="16" width="2.54296875" style="8" bestFit="1" customWidth="1"/>
    <col min="17" max="17" width="3.26953125" style="8" customWidth="1"/>
    <col min="18" max="18" width="9.1796875" style="8" customWidth="1"/>
    <col min="19" max="16384" width="9.1796875" style="8"/>
  </cols>
  <sheetData>
    <row r="1" spans="1:17" x14ac:dyDescent="0.3">
      <c r="A1" s="7" t="s">
        <v>0</v>
      </c>
      <c r="P1" s="22" t="s">
        <v>1</v>
      </c>
    </row>
    <row r="2" spans="1:17" x14ac:dyDescent="0.3">
      <c r="A2" s="8"/>
      <c r="J2" s="22"/>
    </row>
    <row r="3" spans="1:17" x14ac:dyDescent="0.3">
      <c r="A3" s="31" t="s">
        <v>2</v>
      </c>
      <c r="B3" s="35"/>
      <c r="C3" s="36" t="s">
        <v>3</v>
      </c>
      <c r="D3" s="36" t="s">
        <v>4</v>
      </c>
      <c r="E3" s="36" t="s">
        <v>5</v>
      </c>
      <c r="F3" s="32"/>
      <c r="H3" s="22"/>
      <c r="I3" s="79"/>
      <c r="J3" s="22"/>
      <c r="K3" s="31" t="s">
        <v>6</v>
      </c>
      <c r="L3" s="32"/>
      <c r="M3" s="37"/>
      <c r="N3" s="37"/>
      <c r="O3" s="37"/>
      <c r="P3" s="32"/>
      <c r="Q3" s="20"/>
    </row>
    <row r="4" spans="1:17" x14ac:dyDescent="0.3">
      <c r="A4" s="34"/>
      <c r="B4" s="35"/>
      <c r="C4" s="36" t="s">
        <v>7</v>
      </c>
      <c r="D4" s="36" t="s">
        <v>7</v>
      </c>
      <c r="E4" s="36" t="s">
        <v>7</v>
      </c>
      <c r="F4" s="32"/>
      <c r="I4" s="80"/>
      <c r="K4" s="38"/>
      <c r="L4" s="76"/>
      <c r="M4" s="77" t="s">
        <v>3</v>
      </c>
      <c r="N4" s="77" t="s">
        <v>4</v>
      </c>
      <c r="O4" s="77" t="s">
        <v>5</v>
      </c>
      <c r="P4" s="32"/>
      <c r="Q4" s="20"/>
    </row>
    <row r="5" spans="1:17" x14ac:dyDescent="0.3">
      <c r="A5" s="34" t="s">
        <v>8</v>
      </c>
      <c r="B5" s="35" t="s">
        <v>5</v>
      </c>
      <c r="C5" s="37"/>
      <c r="D5" s="37"/>
      <c r="E5" s="39">
        <v>1200</v>
      </c>
      <c r="F5" s="32" t="s">
        <v>9</v>
      </c>
      <c r="I5" s="80"/>
      <c r="K5" s="38"/>
      <c r="L5" s="76"/>
      <c r="M5" s="77" t="s">
        <v>7</v>
      </c>
      <c r="N5" s="77" t="s">
        <v>7</v>
      </c>
      <c r="O5" s="77" t="s">
        <v>7</v>
      </c>
      <c r="P5" s="32"/>
      <c r="Q5" s="20"/>
    </row>
    <row r="6" spans="1:17" x14ac:dyDescent="0.3">
      <c r="A6" s="34" t="s">
        <v>10</v>
      </c>
      <c r="B6" s="35" t="s">
        <v>11</v>
      </c>
      <c r="C6" s="39">
        <v>8500</v>
      </c>
      <c r="D6" s="37"/>
      <c r="E6" s="39">
        <f>E5+C6-D6</f>
        <v>9700</v>
      </c>
      <c r="F6" s="32" t="s">
        <v>9</v>
      </c>
      <c r="G6" s="21" t="s">
        <v>12</v>
      </c>
      <c r="I6" s="80"/>
      <c r="K6" s="38" t="s">
        <v>13</v>
      </c>
      <c r="L6" s="76" t="s">
        <v>14</v>
      </c>
      <c r="M6" s="77">
        <v>6500</v>
      </c>
      <c r="N6" s="77"/>
      <c r="O6" s="77">
        <f>M6-N6</f>
        <v>6500</v>
      </c>
      <c r="P6" s="32" t="s">
        <v>9</v>
      </c>
      <c r="Q6" s="21" t="s">
        <v>12</v>
      </c>
    </row>
    <row r="7" spans="1:17" x14ac:dyDescent="0.3">
      <c r="A7" s="34" t="s">
        <v>15</v>
      </c>
      <c r="B7" s="35" t="s">
        <v>16</v>
      </c>
      <c r="C7" s="39"/>
      <c r="D7" s="39">
        <v>300</v>
      </c>
      <c r="E7" s="39">
        <f t="shared" ref="E7:E9" si="0">E6+C7-D7</f>
        <v>9400</v>
      </c>
      <c r="F7" s="32" t="s">
        <v>9</v>
      </c>
      <c r="G7" s="21" t="s">
        <v>12</v>
      </c>
      <c r="H7" s="21"/>
      <c r="I7" s="81"/>
    </row>
    <row r="8" spans="1:17" ht="17.25" customHeight="1" x14ac:dyDescent="0.3">
      <c r="A8" s="34" t="s">
        <v>17</v>
      </c>
      <c r="B8" s="35" t="s">
        <v>14</v>
      </c>
      <c r="C8" s="39"/>
      <c r="D8" s="39">
        <v>7800</v>
      </c>
      <c r="E8" s="39">
        <f t="shared" si="0"/>
        <v>1600</v>
      </c>
      <c r="F8" s="32" t="s">
        <v>9</v>
      </c>
      <c r="G8" s="21" t="s">
        <v>12</v>
      </c>
      <c r="H8" s="21"/>
      <c r="I8" s="81"/>
      <c r="K8" s="31" t="s">
        <v>18</v>
      </c>
      <c r="L8" s="32"/>
      <c r="M8" s="77"/>
      <c r="N8" s="77"/>
      <c r="O8" s="77"/>
      <c r="P8" s="32"/>
      <c r="Q8" s="21"/>
    </row>
    <row r="9" spans="1:17" x14ac:dyDescent="0.3">
      <c r="A9" s="34" t="s">
        <v>17</v>
      </c>
      <c r="B9" s="35" t="s">
        <v>19</v>
      </c>
      <c r="C9" s="39"/>
      <c r="D9" s="39">
        <v>700</v>
      </c>
      <c r="E9" s="39">
        <f t="shared" si="0"/>
        <v>900</v>
      </c>
      <c r="F9" s="32" t="s">
        <v>9</v>
      </c>
      <c r="G9" s="21" t="s">
        <v>12</v>
      </c>
      <c r="H9" s="21"/>
      <c r="I9" s="81"/>
      <c r="K9" s="38"/>
      <c r="L9" s="76"/>
      <c r="M9" s="77" t="s">
        <v>3</v>
      </c>
      <c r="N9" s="77" t="s">
        <v>4</v>
      </c>
      <c r="O9" s="77" t="s">
        <v>5</v>
      </c>
      <c r="P9" s="32"/>
      <c r="Q9" s="21"/>
    </row>
    <row r="10" spans="1:17" x14ac:dyDescent="0.3">
      <c r="A10" s="38" t="s">
        <v>20</v>
      </c>
      <c r="B10" s="32" t="s">
        <v>21</v>
      </c>
      <c r="C10" s="39">
        <v>2625</v>
      </c>
      <c r="D10" s="37"/>
      <c r="E10" s="39">
        <f>E9+C10-D10</f>
        <v>3525</v>
      </c>
      <c r="F10" s="32" t="s">
        <v>9</v>
      </c>
      <c r="G10" s="21" t="s">
        <v>12</v>
      </c>
      <c r="H10" s="21"/>
      <c r="I10" s="81"/>
      <c r="K10" s="38"/>
      <c r="L10" s="76"/>
      <c r="M10" s="77" t="s">
        <v>7</v>
      </c>
      <c r="N10" s="77" t="s">
        <v>7</v>
      </c>
      <c r="O10" s="77" t="s">
        <v>7</v>
      </c>
      <c r="P10" s="32"/>
      <c r="Q10" s="21"/>
    </row>
    <row r="11" spans="1:17" x14ac:dyDescent="0.3">
      <c r="A11" s="8"/>
      <c r="C11" s="8"/>
      <c r="D11" s="8"/>
      <c r="E11" s="8"/>
      <c r="G11" s="8"/>
      <c r="H11" s="21"/>
      <c r="I11" s="81"/>
      <c r="K11" s="38" t="s">
        <v>13</v>
      </c>
      <c r="L11" s="76" t="s">
        <v>22</v>
      </c>
      <c r="M11" s="77"/>
      <c r="N11" s="77">
        <v>7800</v>
      </c>
      <c r="O11" s="77">
        <f>M11-N11</f>
        <v>-7800</v>
      </c>
      <c r="P11" s="32" t="s">
        <v>23</v>
      </c>
      <c r="Q11" s="21" t="s">
        <v>12</v>
      </c>
    </row>
    <row r="12" spans="1:17" x14ac:dyDescent="0.3">
      <c r="A12" s="31" t="s">
        <v>24</v>
      </c>
      <c r="B12" s="35"/>
      <c r="C12" s="37" t="s">
        <v>3</v>
      </c>
      <c r="D12" s="37" t="s">
        <v>4</v>
      </c>
      <c r="E12" s="37" t="s">
        <v>5</v>
      </c>
      <c r="F12" s="32"/>
      <c r="I12" s="80"/>
      <c r="K12" s="38" t="s">
        <v>17</v>
      </c>
      <c r="L12" s="76" t="s">
        <v>25</v>
      </c>
      <c r="M12" s="77">
        <v>7800</v>
      </c>
      <c r="N12" s="77"/>
      <c r="O12" s="77">
        <f>O11+M12-N12</f>
        <v>0</v>
      </c>
      <c r="P12" s="32"/>
      <c r="Q12" s="21" t="s">
        <v>12</v>
      </c>
    </row>
    <row r="13" spans="1:17" x14ac:dyDescent="0.3">
      <c r="A13" s="34"/>
      <c r="B13" s="35"/>
      <c r="C13" s="37" t="s">
        <v>7</v>
      </c>
      <c r="D13" s="37" t="s">
        <v>7</v>
      </c>
      <c r="E13" s="37" t="s">
        <v>7</v>
      </c>
      <c r="F13" s="32"/>
      <c r="I13" s="80"/>
    </row>
    <row r="14" spans="1:17" x14ac:dyDescent="0.3">
      <c r="A14" s="34" t="s">
        <v>26</v>
      </c>
      <c r="B14" s="35" t="s">
        <v>5</v>
      </c>
      <c r="C14" s="37"/>
      <c r="D14" s="37"/>
      <c r="E14" s="37">
        <v>-2100</v>
      </c>
      <c r="F14" s="32" t="s">
        <v>23</v>
      </c>
      <c r="I14" s="80"/>
      <c r="K14" s="31" t="s">
        <v>27</v>
      </c>
      <c r="L14" s="32"/>
      <c r="M14" s="77"/>
      <c r="N14" s="77"/>
      <c r="O14" s="77"/>
      <c r="P14" s="32"/>
      <c r="Q14" s="21"/>
    </row>
    <row r="15" spans="1:17" x14ac:dyDescent="0.3">
      <c r="A15" s="34" t="s">
        <v>28</v>
      </c>
      <c r="B15" s="35" t="s">
        <v>21</v>
      </c>
      <c r="C15" s="37"/>
      <c r="D15" s="37">
        <v>650</v>
      </c>
      <c r="E15" s="37">
        <f>E14+C15-D15</f>
        <v>-2750</v>
      </c>
      <c r="F15" s="32" t="s">
        <v>23</v>
      </c>
      <c r="G15" s="21" t="s">
        <v>12</v>
      </c>
      <c r="I15" s="80"/>
      <c r="K15" s="38"/>
      <c r="L15" s="76"/>
      <c r="M15" s="77" t="s">
        <v>3</v>
      </c>
      <c r="N15" s="77" t="s">
        <v>4</v>
      </c>
      <c r="O15" s="77" t="s">
        <v>5</v>
      </c>
      <c r="P15" s="32"/>
      <c r="Q15" s="21"/>
    </row>
    <row r="16" spans="1:17" x14ac:dyDescent="0.3">
      <c r="A16" s="34" t="s">
        <v>29</v>
      </c>
      <c r="B16" s="35" t="s">
        <v>18</v>
      </c>
      <c r="C16" s="37">
        <v>1300</v>
      </c>
      <c r="D16" s="37"/>
      <c r="E16" s="37">
        <f>E15+C16-D16</f>
        <v>-1450</v>
      </c>
      <c r="F16" s="32" t="s">
        <v>23</v>
      </c>
      <c r="G16" s="21" t="s">
        <v>12</v>
      </c>
      <c r="I16" s="80"/>
      <c r="K16" s="38"/>
      <c r="L16" s="76"/>
      <c r="M16" s="77" t="s">
        <v>7</v>
      </c>
      <c r="N16" s="77" t="s">
        <v>7</v>
      </c>
      <c r="O16" s="77" t="s">
        <v>7</v>
      </c>
      <c r="P16" s="32"/>
      <c r="Q16" s="21"/>
    </row>
    <row r="17" spans="1:17" x14ac:dyDescent="0.3">
      <c r="A17" s="38" t="s">
        <v>30</v>
      </c>
      <c r="B17" s="32" t="s">
        <v>21</v>
      </c>
      <c r="C17" s="37">
        <v>25</v>
      </c>
      <c r="D17" s="37"/>
      <c r="E17" s="37">
        <f>E16+C17-D17</f>
        <v>-1425</v>
      </c>
      <c r="F17" s="32" t="s">
        <v>23</v>
      </c>
      <c r="G17" s="21" t="s">
        <v>12</v>
      </c>
      <c r="H17" s="21"/>
      <c r="I17" s="81"/>
      <c r="K17" s="38" t="s">
        <v>31</v>
      </c>
      <c r="L17" s="76" t="s">
        <v>21</v>
      </c>
      <c r="M17" s="77">
        <v>125</v>
      </c>
      <c r="N17" s="77"/>
      <c r="O17" s="77">
        <f>M17-N17</f>
        <v>125</v>
      </c>
      <c r="P17" s="32" t="s">
        <v>9</v>
      </c>
      <c r="Q17" s="21" t="s">
        <v>12</v>
      </c>
    </row>
    <row r="18" spans="1:17" x14ac:dyDescent="0.3">
      <c r="A18" s="38" t="s">
        <v>32</v>
      </c>
      <c r="B18" s="32" t="s">
        <v>25</v>
      </c>
      <c r="C18" s="37">
        <v>50</v>
      </c>
      <c r="D18" s="37"/>
      <c r="E18" s="37">
        <f>E17+C18-D18</f>
        <v>-1375</v>
      </c>
      <c r="F18" s="32" t="s">
        <v>23</v>
      </c>
      <c r="G18" s="21" t="s">
        <v>12</v>
      </c>
      <c r="H18" s="21"/>
      <c r="I18" s="81"/>
    </row>
    <row r="19" spans="1:17" x14ac:dyDescent="0.3">
      <c r="A19" s="8"/>
      <c r="C19" s="8"/>
      <c r="D19" s="8"/>
      <c r="E19" s="8"/>
      <c r="G19" s="8"/>
      <c r="H19" s="21"/>
      <c r="I19" s="81"/>
      <c r="K19" s="31" t="s">
        <v>33</v>
      </c>
      <c r="L19" s="32"/>
      <c r="M19" s="77"/>
      <c r="N19" s="77"/>
      <c r="O19" s="77"/>
      <c r="P19" s="32"/>
      <c r="Q19" s="21"/>
    </row>
    <row r="20" spans="1:17" x14ac:dyDescent="0.3">
      <c r="A20" s="31" t="s">
        <v>19</v>
      </c>
      <c r="B20" s="35"/>
      <c r="C20" s="37" t="s">
        <v>3</v>
      </c>
      <c r="D20" s="37" t="s">
        <v>4</v>
      </c>
      <c r="E20" s="37" t="s">
        <v>5</v>
      </c>
      <c r="F20" s="32"/>
      <c r="H20" s="21"/>
      <c r="I20" s="81"/>
      <c r="K20" s="38"/>
      <c r="L20" s="76"/>
      <c r="M20" s="77" t="s">
        <v>3</v>
      </c>
      <c r="N20" s="77" t="s">
        <v>4</v>
      </c>
      <c r="O20" s="77" t="s">
        <v>5</v>
      </c>
      <c r="P20" s="32"/>
      <c r="Q20" s="21"/>
    </row>
    <row r="21" spans="1:17" x14ac:dyDescent="0.3">
      <c r="A21" s="34"/>
      <c r="B21" s="35"/>
      <c r="C21" s="37" t="s">
        <v>7</v>
      </c>
      <c r="D21" s="37" t="s">
        <v>7</v>
      </c>
      <c r="E21" s="37" t="s">
        <v>7</v>
      </c>
      <c r="F21" s="32"/>
      <c r="H21" s="21"/>
      <c r="I21" s="81"/>
      <c r="K21" s="38"/>
      <c r="L21" s="76"/>
      <c r="M21" s="77" t="s">
        <v>7</v>
      </c>
      <c r="N21" s="77" t="s">
        <v>7</v>
      </c>
      <c r="O21" s="77" t="s">
        <v>7</v>
      </c>
      <c r="P21" s="32"/>
      <c r="Q21" s="21"/>
    </row>
    <row r="22" spans="1:17" x14ac:dyDescent="0.3">
      <c r="A22" s="34" t="s">
        <v>26</v>
      </c>
      <c r="B22" s="35" t="s">
        <v>5</v>
      </c>
      <c r="C22" s="37"/>
      <c r="D22" s="37"/>
      <c r="E22" s="37">
        <v>100</v>
      </c>
      <c r="F22" s="32" t="s">
        <v>9</v>
      </c>
      <c r="I22" s="80"/>
      <c r="K22" s="38" t="s">
        <v>10</v>
      </c>
      <c r="L22" s="76" t="s">
        <v>25</v>
      </c>
      <c r="M22" s="77"/>
      <c r="N22" s="77">
        <v>8500</v>
      </c>
      <c r="O22" s="77">
        <f>M22-N22</f>
        <v>-8500</v>
      </c>
      <c r="P22" s="78" t="s">
        <v>23</v>
      </c>
      <c r="Q22" s="21" t="s">
        <v>12</v>
      </c>
    </row>
    <row r="23" spans="1:17" x14ac:dyDescent="0.3">
      <c r="A23" s="38" t="s">
        <v>34</v>
      </c>
      <c r="B23" s="76" t="s">
        <v>25</v>
      </c>
      <c r="C23" s="77">
        <v>700</v>
      </c>
      <c r="D23" s="77"/>
      <c r="E23" s="77">
        <f>E22+C23-D23</f>
        <v>800</v>
      </c>
      <c r="F23" s="32" t="s">
        <v>9</v>
      </c>
      <c r="G23" s="21" t="s">
        <v>12</v>
      </c>
      <c r="I23" s="80"/>
    </row>
    <row r="24" spans="1:17" x14ac:dyDescent="0.3">
      <c r="A24" s="8"/>
      <c r="C24" s="8"/>
      <c r="D24" s="8"/>
      <c r="E24" s="8"/>
      <c r="G24" s="8"/>
      <c r="I24" s="80"/>
      <c r="K24" s="31" t="s">
        <v>35</v>
      </c>
      <c r="L24" s="32"/>
      <c r="M24" s="77"/>
      <c r="N24" s="77"/>
      <c r="O24" s="77"/>
      <c r="P24" s="78"/>
      <c r="Q24" s="21"/>
    </row>
    <row r="25" spans="1:17" x14ac:dyDescent="0.3">
      <c r="A25" s="31" t="s">
        <v>36</v>
      </c>
      <c r="B25" s="35"/>
      <c r="C25" s="37" t="s">
        <v>3</v>
      </c>
      <c r="D25" s="37" t="s">
        <v>4</v>
      </c>
      <c r="E25" s="37" t="s">
        <v>5</v>
      </c>
      <c r="F25" s="32"/>
      <c r="I25" s="80"/>
      <c r="K25" s="38"/>
      <c r="L25" s="76"/>
      <c r="M25" s="77" t="s">
        <v>3</v>
      </c>
      <c r="N25" s="77" t="s">
        <v>4</v>
      </c>
      <c r="O25" s="77" t="s">
        <v>5</v>
      </c>
      <c r="P25" s="78"/>
      <c r="Q25" s="21"/>
    </row>
    <row r="26" spans="1:17" x14ac:dyDescent="0.3">
      <c r="A26" s="34"/>
      <c r="B26" s="35"/>
      <c r="C26" s="37" t="s">
        <v>7</v>
      </c>
      <c r="D26" s="37" t="s">
        <v>7</v>
      </c>
      <c r="E26" s="37" t="s">
        <v>7</v>
      </c>
      <c r="F26" s="32"/>
      <c r="H26" s="21"/>
      <c r="I26" s="81"/>
      <c r="K26" s="38"/>
      <c r="L26" s="76"/>
      <c r="M26" s="77" t="s">
        <v>7</v>
      </c>
      <c r="N26" s="77" t="s">
        <v>7</v>
      </c>
      <c r="O26" s="77" t="s">
        <v>7</v>
      </c>
      <c r="P26" s="78"/>
      <c r="Q26" s="21"/>
    </row>
    <row r="27" spans="1:17" x14ac:dyDescent="0.3">
      <c r="A27" s="34" t="s">
        <v>28</v>
      </c>
      <c r="B27" s="35" t="s">
        <v>21</v>
      </c>
      <c r="C27" s="37"/>
      <c r="D27" s="37">
        <v>3250</v>
      </c>
      <c r="E27" s="37">
        <f>C27-D27</f>
        <v>-3250</v>
      </c>
      <c r="F27" s="32" t="s">
        <v>23</v>
      </c>
      <c r="G27" s="21" t="s">
        <v>12</v>
      </c>
      <c r="I27" s="80"/>
      <c r="K27" s="38" t="s">
        <v>15</v>
      </c>
      <c r="L27" s="76" t="s">
        <v>25</v>
      </c>
      <c r="M27" s="77">
        <v>250</v>
      </c>
      <c r="N27" s="77"/>
      <c r="O27" s="77">
        <f>M27</f>
        <v>250</v>
      </c>
      <c r="P27" s="78" t="s">
        <v>9</v>
      </c>
      <c r="Q27" s="21" t="s">
        <v>12</v>
      </c>
    </row>
    <row r="28" spans="1:17" x14ac:dyDescent="0.3">
      <c r="A28" s="8"/>
      <c r="C28" s="8"/>
      <c r="D28" s="8"/>
      <c r="E28" s="8"/>
      <c r="G28" s="8"/>
      <c r="I28" s="80"/>
    </row>
    <row r="29" spans="1:17" x14ac:dyDescent="0.3">
      <c r="A29" s="31" t="s">
        <v>21</v>
      </c>
      <c r="B29" s="35"/>
      <c r="C29" s="37" t="s">
        <v>3</v>
      </c>
      <c r="D29" s="37" t="s">
        <v>4</v>
      </c>
      <c r="E29" s="37" t="s">
        <v>5</v>
      </c>
      <c r="F29" s="32"/>
      <c r="I29" s="80"/>
      <c r="K29" s="31" t="s">
        <v>37</v>
      </c>
      <c r="L29" s="32"/>
      <c r="M29" s="77"/>
      <c r="N29" s="77"/>
      <c r="O29" s="77"/>
      <c r="P29" s="78"/>
      <c r="Q29" s="21"/>
    </row>
    <row r="30" spans="1:17" x14ac:dyDescent="0.3">
      <c r="A30" s="34"/>
      <c r="B30" s="35"/>
      <c r="C30" s="37" t="s">
        <v>7</v>
      </c>
      <c r="D30" s="37" t="s">
        <v>7</v>
      </c>
      <c r="E30" s="37" t="s">
        <v>7</v>
      </c>
      <c r="F30" s="32"/>
      <c r="H30" s="21"/>
      <c r="I30" s="81"/>
      <c r="K30" s="38"/>
      <c r="L30" s="76"/>
      <c r="M30" s="77" t="s">
        <v>3</v>
      </c>
      <c r="N30" s="77" t="s">
        <v>4</v>
      </c>
      <c r="O30" s="77" t="s">
        <v>5</v>
      </c>
      <c r="P30" s="78"/>
      <c r="Q30" s="21"/>
    </row>
    <row r="31" spans="1:17" x14ac:dyDescent="0.3">
      <c r="A31" s="38" t="s">
        <v>38</v>
      </c>
      <c r="B31" s="76" t="s">
        <v>39</v>
      </c>
      <c r="C31" s="77">
        <v>3900</v>
      </c>
      <c r="D31" s="77"/>
      <c r="E31" s="77">
        <f>C31-D31</f>
        <v>3900</v>
      </c>
      <c r="F31" s="32" t="s">
        <v>9</v>
      </c>
      <c r="G31" s="21" t="s">
        <v>12</v>
      </c>
      <c r="H31" s="8"/>
      <c r="I31" s="82"/>
      <c r="K31" s="38"/>
      <c r="L31" s="76"/>
      <c r="M31" s="77" t="s">
        <v>7</v>
      </c>
      <c r="N31" s="77" t="s">
        <v>7</v>
      </c>
      <c r="O31" s="77" t="s">
        <v>7</v>
      </c>
      <c r="P31" s="78"/>
      <c r="Q31" s="21"/>
    </row>
    <row r="32" spans="1:17" x14ac:dyDescent="0.3">
      <c r="A32" s="38" t="s">
        <v>31</v>
      </c>
      <c r="B32" s="76" t="s">
        <v>40</v>
      </c>
      <c r="C32" s="77"/>
      <c r="D32" s="77">
        <v>150</v>
      </c>
      <c r="E32" s="77">
        <f>E31+C32-D32</f>
        <v>3750</v>
      </c>
      <c r="F32" s="32" t="s">
        <v>9</v>
      </c>
      <c r="G32" s="21" t="s">
        <v>12</v>
      </c>
      <c r="I32" s="80"/>
      <c r="K32" s="38" t="s">
        <v>20</v>
      </c>
      <c r="L32" s="76" t="s">
        <v>21</v>
      </c>
      <c r="M32" s="77">
        <v>1125</v>
      </c>
      <c r="N32" s="77"/>
      <c r="O32" s="77">
        <f>M32</f>
        <v>1125</v>
      </c>
      <c r="P32" s="78" t="s">
        <v>9</v>
      </c>
      <c r="Q32" s="21" t="s">
        <v>12</v>
      </c>
    </row>
    <row r="33" spans="1:16" x14ac:dyDescent="0.3">
      <c r="A33" s="38" t="s">
        <v>20</v>
      </c>
      <c r="B33" s="76" t="s">
        <v>25</v>
      </c>
      <c r="C33" s="77"/>
      <c r="D33" s="77">
        <v>2625</v>
      </c>
      <c r="E33" s="77">
        <f t="shared" ref="E33:E34" si="1">E32+C33-D33</f>
        <v>1125</v>
      </c>
      <c r="F33" s="32" t="s">
        <v>9</v>
      </c>
      <c r="G33" s="21" t="s">
        <v>41</v>
      </c>
      <c r="I33" s="80"/>
    </row>
    <row r="34" spans="1:16" x14ac:dyDescent="0.3">
      <c r="A34" s="38" t="s">
        <v>20</v>
      </c>
      <c r="B34" s="76" t="s">
        <v>42</v>
      </c>
      <c r="C34" s="77"/>
      <c r="D34" s="77">
        <v>1125</v>
      </c>
      <c r="E34" s="77">
        <f t="shared" si="1"/>
        <v>0</v>
      </c>
      <c r="F34" s="32"/>
      <c r="G34" s="21" t="s">
        <v>12</v>
      </c>
      <c r="H34" s="21"/>
      <c r="I34" s="81"/>
      <c r="K34" s="7" t="s">
        <v>43</v>
      </c>
      <c r="L34" s="8" t="s">
        <v>44</v>
      </c>
      <c r="M34" s="21" t="s">
        <v>12</v>
      </c>
      <c r="P34" s="22" t="s">
        <v>45</v>
      </c>
    </row>
    <row r="35" spans="1:16" x14ac:dyDescent="0.3">
      <c r="A35" s="8"/>
      <c r="C35" s="8"/>
      <c r="D35" s="8"/>
      <c r="E35" s="8"/>
      <c r="G35" s="8"/>
      <c r="H35" s="21"/>
      <c r="I35" s="81"/>
    </row>
    <row r="36" spans="1:16" x14ac:dyDescent="0.3">
      <c r="A36" s="8"/>
      <c r="C36" s="8"/>
      <c r="D36" s="8"/>
      <c r="E36" s="8"/>
      <c r="G36" s="8"/>
      <c r="H36" s="8"/>
      <c r="I36" s="8"/>
    </row>
    <row r="37" spans="1:16" x14ac:dyDescent="0.3">
      <c r="A37" s="8"/>
      <c r="C37" s="8"/>
      <c r="D37" s="8"/>
      <c r="E37" s="8"/>
      <c r="G37" s="8"/>
      <c r="H37" s="8"/>
      <c r="I37" s="8"/>
    </row>
    <row r="38" spans="1:16" x14ac:dyDescent="0.3">
      <c r="A38" s="8"/>
      <c r="C38" s="8"/>
      <c r="D38" s="8"/>
      <c r="E38" s="8"/>
      <c r="G38" s="8"/>
      <c r="H38" s="8"/>
      <c r="I38" s="8"/>
    </row>
    <row r="39" spans="1:16" x14ac:dyDescent="0.3">
      <c r="C39" s="18"/>
      <c r="D39" s="18"/>
      <c r="E39" s="18"/>
      <c r="G39" s="21"/>
      <c r="H39" s="21"/>
      <c r="I39" s="21"/>
    </row>
    <row r="40" spans="1:16" x14ac:dyDescent="0.3">
      <c r="A40" s="8"/>
      <c r="C40" s="8"/>
      <c r="D40" s="8"/>
      <c r="E40" s="8"/>
      <c r="G40" s="8"/>
      <c r="H40" s="8"/>
      <c r="I40" s="8"/>
    </row>
    <row r="41" spans="1:16" x14ac:dyDescent="0.3">
      <c r="A41" s="8"/>
      <c r="C41" s="8"/>
      <c r="D41" s="8"/>
      <c r="E41" s="8"/>
      <c r="G41" s="8"/>
      <c r="H41" s="8"/>
      <c r="I41" s="8"/>
    </row>
    <row r="42" spans="1:16" x14ac:dyDescent="0.3">
      <c r="A42" s="8"/>
      <c r="C42" s="8"/>
      <c r="D42" s="8"/>
      <c r="E42" s="8"/>
      <c r="G42" s="8"/>
      <c r="H42" s="8"/>
      <c r="I42" s="8"/>
    </row>
    <row r="43" spans="1:16" x14ac:dyDescent="0.3">
      <c r="A43" s="8"/>
      <c r="C43" s="8"/>
      <c r="D43" s="8"/>
      <c r="E43" s="8"/>
      <c r="G43" s="8"/>
      <c r="H43" s="8"/>
      <c r="I43" s="8"/>
    </row>
    <row r="44" spans="1:16" x14ac:dyDescent="0.3">
      <c r="A44" s="8"/>
      <c r="C44" s="8"/>
      <c r="D44" s="8"/>
      <c r="E44" s="8"/>
      <c r="G44" s="8"/>
      <c r="H44" s="8"/>
      <c r="I44" s="8"/>
    </row>
    <row r="45" spans="1:16" x14ac:dyDescent="0.3">
      <c r="A45" s="10"/>
      <c r="C45" s="18"/>
      <c r="D45" s="18"/>
      <c r="E45" s="18"/>
      <c r="G45" s="21"/>
      <c r="H45" s="21"/>
      <c r="I45" s="21"/>
    </row>
    <row r="46" spans="1:16" x14ac:dyDescent="0.3">
      <c r="A46" s="8"/>
      <c r="C46" s="8"/>
      <c r="D46" s="8"/>
      <c r="E46" s="8"/>
      <c r="G46" s="8"/>
      <c r="H46" s="8"/>
      <c r="I46" s="8"/>
    </row>
    <row r="47" spans="1:16" x14ac:dyDescent="0.3">
      <c r="A47" s="8"/>
      <c r="C47" s="8"/>
      <c r="D47" s="8"/>
      <c r="E47" s="8"/>
      <c r="G47" s="8"/>
      <c r="H47" s="8"/>
      <c r="I47" s="8"/>
    </row>
    <row r="48" spans="1:16" x14ac:dyDescent="0.3">
      <c r="A48" s="8"/>
      <c r="C48" s="8"/>
      <c r="D48" s="8"/>
      <c r="E48" s="8"/>
      <c r="G48" s="8"/>
      <c r="H48" s="8"/>
      <c r="I48" s="8"/>
    </row>
    <row r="49" spans="1:10" x14ac:dyDescent="0.3">
      <c r="A49" s="8"/>
      <c r="C49" s="8"/>
      <c r="D49" s="8"/>
      <c r="E49" s="8"/>
      <c r="G49" s="8"/>
      <c r="H49" s="8"/>
      <c r="I49" s="8"/>
    </row>
    <row r="50" spans="1:10" x14ac:dyDescent="0.3">
      <c r="A50" s="11"/>
      <c r="C50" s="18"/>
      <c r="D50" s="18"/>
      <c r="E50" s="18"/>
      <c r="G50" s="21"/>
      <c r="H50" s="21"/>
      <c r="I50" s="21"/>
    </row>
    <row r="51" spans="1:10" x14ac:dyDescent="0.3">
      <c r="A51" s="8"/>
      <c r="C51" s="8"/>
      <c r="D51" s="8"/>
      <c r="E51" s="8"/>
      <c r="G51" s="8"/>
      <c r="H51" s="8"/>
      <c r="I51" s="8"/>
    </row>
    <row r="52" spans="1:10" x14ac:dyDescent="0.3">
      <c r="A52" s="8"/>
      <c r="C52" s="8"/>
      <c r="D52" s="8"/>
      <c r="E52" s="8"/>
      <c r="G52" s="8"/>
      <c r="H52" s="8"/>
      <c r="I52" s="8"/>
    </row>
    <row r="53" spans="1:10" x14ac:dyDescent="0.3">
      <c r="A53" s="8"/>
      <c r="C53" s="8"/>
      <c r="D53" s="8"/>
      <c r="E53" s="8"/>
      <c r="G53" s="8"/>
      <c r="H53" s="8"/>
      <c r="I53" s="8"/>
    </row>
    <row r="54" spans="1:10" x14ac:dyDescent="0.3">
      <c r="A54" s="8"/>
      <c r="C54" s="8"/>
      <c r="D54" s="8"/>
      <c r="E54" s="8"/>
      <c r="G54" s="8"/>
      <c r="H54" s="8"/>
      <c r="I54" s="8"/>
    </row>
    <row r="55" spans="1:10" x14ac:dyDescent="0.3">
      <c r="A55" s="10"/>
      <c r="C55" s="18"/>
      <c r="D55" s="18"/>
      <c r="E55" s="18"/>
      <c r="F55" s="5"/>
      <c r="G55" s="21"/>
      <c r="H55" s="21"/>
      <c r="I55" s="21"/>
    </row>
    <row r="56" spans="1:10" x14ac:dyDescent="0.3">
      <c r="A56" s="8"/>
      <c r="C56" s="8"/>
      <c r="D56" s="8"/>
      <c r="E56" s="8"/>
      <c r="G56" s="8"/>
      <c r="H56" s="8"/>
      <c r="I56" s="8"/>
    </row>
    <row r="57" spans="1:10" x14ac:dyDescent="0.3">
      <c r="A57" s="8"/>
      <c r="C57" s="8"/>
      <c r="D57" s="8"/>
      <c r="E57" s="8"/>
      <c r="G57" s="8"/>
      <c r="H57" s="8"/>
      <c r="I57" s="8"/>
    </row>
    <row r="58" spans="1:10" x14ac:dyDescent="0.3">
      <c r="A58" s="8"/>
      <c r="C58" s="8"/>
      <c r="D58" s="8"/>
      <c r="E58" s="8"/>
      <c r="G58" s="8"/>
      <c r="H58" s="8"/>
      <c r="I58" s="8"/>
    </row>
    <row r="59" spans="1:10" x14ac:dyDescent="0.3">
      <c r="A59" s="8"/>
      <c r="C59" s="8"/>
      <c r="D59" s="8"/>
      <c r="E59" s="8"/>
      <c r="G59" s="8"/>
      <c r="H59" s="8"/>
      <c r="I59" s="8"/>
    </row>
    <row r="60" spans="1:10" x14ac:dyDescent="0.3">
      <c r="J60" s="22"/>
    </row>
    <row r="61" spans="1:10" x14ac:dyDescent="0.3">
      <c r="A61" s="8"/>
      <c r="G61" s="8"/>
      <c r="H61" s="8"/>
      <c r="I61" s="8"/>
    </row>
    <row r="62" spans="1:10" x14ac:dyDescent="0.3">
      <c r="A62" s="8"/>
      <c r="C62" s="21"/>
    </row>
    <row r="63" spans="1:10" x14ac:dyDescent="0.3">
      <c r="C63" s="21"/>
    </row>
  </sheetData>
  <pageMargins left="0.7" right="0.7" top="0.75" bottom="0.75" header="0.3" footer="0.3"/>
  <pageSetup paperSize="9" scale="9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8F6FD-150B-4E8B-AB0A-9F9C82EBD827}">
  <dimension ref="A1:P51"/>
  <sheetViews>
    <sheetView tabSelected="1" topLeftCell="A22" zoomScaleNormal="100" workbookViewId="0">
      <selection activeCell="R34" sqref="R34"/>
    </sheetView>
  </sheetViews>
  <sheetFormatPr defaultColWidth="8.7265625" defaultRowHeight="14" x14ac:dyDescent="0.3"/>
  <cols>
    <col min="1" max="10" width="8.7265625" style="2"/>
    <col min="11" max="11" width="3" style="2" customWidth="1"/>
    <col min="12" max="13" width="8.7265625" style="2"/>
    <col min="14" max="14" width="8.7265625" style="2" customWidth="1"/>
    <col min="15" max="15" width="14.81640625" style="2" customWidth="1"/>
    <col min="16" max="16384" width="8.7265625" style="2"/>
  </cols>
  <sheetData>
    <row r="1" spans="1:16" x14ac:dyDescent="0.3">
      <c r="A1" s="3" t="s">
        <v>46</v>
      </c>
    </row>
    <row r="2" spans="1:16" ht="6" customHeight="1" x14ac:dyDescent="0.3">
      <c r="A2" s="6"/>
    </row>
    <row r="3" spans="1:16" ht="14.15" customHeight="1" x14ac:dyDescent="0.3">
      <c r="A3" s="207" t="s">
        <v>47</v>
      </c>
      <c r="B3" s="207"/>
      <c r="C3" s="207"/>
      <c r="D3" s="207"/>
      <c r="E3" s="207"/>
      <c r="F3" s="207"/>
      <c r="G3" s="207"/>
      <c r="H3" s="207"/>
      <c r="I3" s="207"/>
      <c r="J3" s="207"/>
      <c r="K3" s="207"/>
      <c r="L3" s="207"/>
      <c r="M3" s="207"/>
      <c r="N3" s="207"/>
      <c r="O3" s="207"/>
      <c r="P3" s="4"/>
    </row>
    <row r="4" spans="1:16" ht="6" customHeight="1" x14ac:dyDescent="0.3">
      <c r="A4" s="6"/>
    </row>
    <row r="5" spans="1:16" ht="14.15" customHeight="1" x14ac:dyDescent="0.3">
      <c r="A5" s="203" t="s">
        <v>48</v>
      </c>
      <c r="B5" s="203"/>
      <c r="C5" s="203"/>
      <c r="D5" s="203"/>
      <c r="E5" s="203"/>
      <c r="F5" s="203"/>
      <c r="G5" s="203"/>
      <c r="H5" s="203"/>
      <c r="I5" s="203"/>
      <c r="J5" s="203"/>
      <c r="K5" s="203"/>
      <c r="L5" s="203"/>
      <c r="M5" s="203"/>
      <c r="N5" s="203"/>
      <c r="O5" s="203"/>
    </row>
    <row r="6" spans="1:16" ht="6" customHeight="1" x14ac:dyDescent="0.3">
      <c r="A6" s="4"/>
      <c r="B6" s="4"/>
      <c r="C6" s="4"/>
      <c r="D6" s="4"/>
      <c r="E6" s="4"/>
      <c r="F6" s="4"/>
      <c r="G6" s="4"/>
      <c r="H6" s="4"/>
      <c r="I6" s="4"/>
      <c r="J6" s="4"/>
      <c r="K6" s="4"/>
      <c r="L6" s="4"/>
      <c r="M6" s="4"/>
      <c r="N6" s="4"/>
      <c r="O6" s="4"/>
    </row>
    <row r="7" spans="1:16" ht="13.5" customHeight="1" x14ac:dyDescent="0.3">
      <c r="A7" s="6" t="s">
        <v>49</v>
      </c>
    </row>
    <row r="8" spans="1:16" x14ac:dyDescent="0.3">
      <c r="A8" s="6" t="s">
        <v>50</v>
      </c>
    </row>
    <row r="9" spans="1:16" ht="14.25" customHeight="1" x14ac:dyDescent="0.3">
      <c r="A9" s="6" t="s">
        <v>51</v>
      </c>
    </row>
    <row r="10" spans="1:16" ht="14.25" customHeight="1" x14ac:dyDescent="0.3">
      <c r="A10" s="6" t="s">
        <v>52</v>
      </c>
    </row>
    <row r="11" spans="1:16" ht="7.5" customHeight="1" x14ac:dyDescent="0.3"/>
    <row r="12" spans="1:16" x14ac:dyDescent="0.3">
      <c r="A12" s="6" t="s">
        <v>380</v>
      </c>
    </row>
    <row r="13" spans="1:16" ht="3" customHeight="1" thickBot="1" x14ac:dyDescent="0.35">
      <c r="A13" s="6"/>
    </row>
    <row r="14" spans="1:16" ht="33" customHeight="1" x14ac:dyDescent="0.3">
      <c r="A14" s="83">
        <v>44989</v>
      </c>
      <c r="B14" s="209" t="s">
        <v>53</v>
      </c>
      <c r="C14" s="209"/>
      <c r="D14" s="209"/>
      <c r="E14" s="209"/>
      <c r="F14" s="209"/>
      <c r="G14" s="209"/>
      <c r="H14" s="209"/>
      <c r="I14" s="209"/>
      <c r="J14" s="210"/>
    </row>
    <row r="15" spans="1:16" ht="33" customHeight="1" x14ac:dyDescent="0.3">
      <c r="A15" s="84">
        <v>44993</v>
      </c>
      <c r="B15" s="211" t="s">
        <v>54</v>
      </c>
      <c r="C15" s="211"/>
      <c r="D15" s="211"/>
      <c r="E15" s="211"/>
      <c r="F15" s="211"/>
      <c r="G15" s="211"/>
      <c r="H15" s="211"/>
      <c r="I15" s="211"/>
      <c r="J15" s="212"/>
      <c r="L15" s="208" t="s">
        <v>55</v>
      </c>
      <c r="M15" s="208"/>
      <c r="N15" s="208"/>
      <c r="O15" s="208"/>
    </row>
    <row r="16" spans="1:16" ht="33" customHeight="1" x14ac:dyDescent="0.3">
      <c r="A16" s="84">
        <v>44996</v>
      </c>
      <c r="B16" s="211" t="s">
        <v>56</v>
      </c>
      <c r="C16" s="211"/>
      <c r="D16" s="211"/>
      <c r="E16" s="211"/>
      <c r="F16" s="211"/>
      <c r="G16" s="211"/>
      <c r="H16" s="211"/>
      <c r="I16" s="211"/>
      <c r="J16" s="212"/>
    </row>
    <row r="17" spans="1:15" ht="33" customHeight="1" x14ac:dyDescent="0.3">
      <c r="A17" s="84">
        <v>44997</v>
      </c>
      <c r="B17" s="211" t="s">
        <v>377</v>
      </c>
      <c r="C17" s="211"/>
      <c r="D17" s="211"/>
      <c r="E17" s="211"/>
      <c r="F17" s="211"/>
      <c r="G17" s="211"/>
      <c r="H17" s="211"/>
      <c r="I17" s="211"/>
      <c r="J17" s="212"/>
    </row>
    <row r="18" spans="1:15" ht="15.75" customHeight="1" x14ac:dyDescent="0.3">
      <c r="A18" s="84">
        <v>45000</v>
      </c>
      <c r="B18" s="211" t="s">
        <v>57</v>
      </c>
      <c r="C18" s="211"/>
      <c r="D18" s="211"/>
      <c r="E18" s="211"/>
      <c r="F18" s="211"/>
      <c r="G18" s="211"/>
      <c r="H18" s="211"/>
      <c r="I18" s="211"/>
      <c r="J18" s="212"/>
    </row>
    <row r="19" spans="1:15" ht="14.25" customHeight="1" x14ac:dyDescent="0.3">
      <c r="A19" s="85"/>
      <c r="B19" s="202" t="s">
        <v>378</v>
      </c>
      <c r="C19" s="203"/>
      <c r="D19" s="203"/>
      <c r="E19" s="203"/>
      <c r="F19" s="203"/>
      <c r="G19" s="203"/>
      <c r="H19" s="203"/>
      <c r="I19" s="203"/>
      <c r="J19" s="204"/>
    </row>
    <row r="20" spans="1:15" ht="32.25" customHeight="1" x14ac:dyDescent="0.3">
      <c r="A20" s="85"/>
      <c r="B20" s="202" t="s">
        <v>58</v>
      </c>
      <c r="C20" s="202"/>
      <c r="D20" s="202"/>
      <c r="E20" s="202"/>
      <c r="F20" s="202"/>
      <c r="G20" s="202"/>
      <c r="H20" s="202"/>
      <c r="I20" s="202"/>
      <c r="J20" s="213"/>
    </row>
    <row r="21" spans="1:15" ht="19" customHeight="1" x14ac:dyDescent="0.3">
      <c r="A21" s="85"/>
      <c r="B21" s="202" t="s">
        <v>381</v>
      </c>
      <c r="C21" s="203"/>
      <c r="D21" s="203"/>
      <c r="E21" s="203"/>
      <c r="F21" s="203"/>
      <c r="G21" s="203"/>
      <c r="H21" s="203"/>
      <c r="I21" s="203"/>
      <c r="J21" s="204"/>
    </row>
    <row r="22" spans="1:15" ht="31" customHeight="1" x14ac:dyDescent="0.3">
      <c r="A22" s="84">
        <v>45005</v>
      </c>
      <c r="B22" s="211" t="s">
        <v>59</v>
      </c>
      <c r="C22" s="211"/>
      <c r="D22" s="211"/>
      <c r="E22" s="211"/>
      <c r="F22" s="211"/>
      <c r="G22" s="211"/>
      <c r="H22" s="211"/>
      <c r="I22" s="211"/>
      <c r="J22" s="212"/>
      <c r="L22" s="2" t="s">
        <v>60</v>
      </c>
    </row>
    <row r="23" spans="1:15" ht="20.149999999999999" customHeight="1" x14ac:dyDescent="0.3">
      <c r="A23" s="85"/>
      <c r="B23" s="203" t="s">
        <v>61</v>
      </c>
      <c r="C23" s="203"/>
      <c r="D23" s="203"/>
      <c r="E23" s="203"/>
      <c r="F23" s="203"/>
      <c r="G23" s="203"/>
      <c r="H23" s="203"/>
      <c r="I23" s="203"/>
      <c r="J23" s="204"/>
      <c r="L23" s="94" t="s">
        <v>62</v>
      </c>
    </row>
    <row r="24" spans="1:15" ht="74" customHeight="1" thickBot="1" x14ac:dyDescent="0.35">
      <c r="A24" s="100">
        <v>45013</v>
      </c>
      <c r="B24" s="205" t="s">
        <v>379</v>
      </c>
      <c r="C24" s="205"/>
      <c r="D24" s="205"/>
      <c r="E24" s="205"/>
      <c r="F24" s="205"/>
      <c r="G24" s="205"/>
      <c r="H24" s="205"/>
      <c r="I24" s="205"/>
      <c r="J24" s="206"/>
      <c r="L24" s="203" t="s">
        <v>63</v>
      </c>
      <c r="M24" s="203"/>
      <c r="N24" s="203"/>
      <c r="O24" s="203"/>
    </row>
    <row r="25" spans="1:15" x14ac:dyDescent="0.3">
      <c r="A25" s="6"/>
    </row>
    <row r="26" spans="1:15" ht="55.5" customHeight="1" x14ac:dyDescent="0.3">
      <c r="A26" s="203" t="s">
        <v>64</v>
      </c>
      <c r="B26" s="203"/>
      <c r="C26" s="203"/>
      <c r="D26" s="203"/>
      <c r="E26" s="203"/>
      <c r="F26" s="203"/>
      <c r="G26" s="203"/>
      <c r="H26" s="203"/>
      <c r="I26" s="203"/>
      <c r="J26" s="203"/>
      <c r="K26" s="203"/>
      <c r="L26" s="203"/>
      <c r="M26" s="203"/>
      <c r="N26" s="203"/>
      <c r="O26" s="203"/>
    </row>
    <row r="27" spans="1:15" x14ac:dyDescent="0.3">
      <c r="A27" s="6"/>
    </row>
    <row r="28" spans="1:15" x14ac:dyDescent="0.3">
      <c r="A28" s="6" t="s">
        <v>65</v>
      </c>
    </row>
    <row r="29" spans="1:15" x14ac:dyDescent="0.3">
      <c r="A29" s="6"/>
    </row>
    <row r="30" spans="1:15" x14ac:dyDescent="0.3">
      <c r="A30" s="6" t="s">
        <v>66</v>
      </c>
    </row>
    <row r="31" spans="1:15" ht="4" customHeight="1" x14ac:dyDescent="0.3">
      <c r="A31" s="6"/>
    </row>
    <row r="32" spans="1:15" x14ac:dyDescent="0.3">
      <c r="A32" s="6"/>
      <c r="B32" s="2" t="s">
        <v>67</v>
      </c>
    </row>
    <row r="33" spans="1:15" ht="4" customHeight="1" x14ac:dyDescent="0.3">
      <c r="A33" s="6"/>
    </row>
    <row r="34" spans="1:15" x14ac:dyDescent="0.3">
      <c r="A34" s="6"/>
      <c r="B34" s="2" t="s">
        <v>68</v>
      </c>
    </row>
    <row r="35" spans="1:15" x14ac:dyDescent="0.3">
      <c r="A35" s="6"/>
      <c r="B35" s="2" t="s">
        <v>69</v>
      </c>
    </row>
    <row r="36" spans="1:15" x14ac:dyDescent="0.3">
      <c r="A36" s="6"/>
      <c r="B36" s="2" t="s">
        <v>70</v>
      </c>
    </row>
    <row r="37" spans="1:15" x14ac:dyDescent="0.3">
      <c r="A37" s="6"/>
      <c r="B37" s="2" t="s">
        <v>357</v>
      </c>
    </row>
    <row r="38" spans="1:15" x14ac:dyDescent="0.3">
      <c r="A38" s="6"/>
    </row>
    <row r="39" spans="1:15" x14ac:dyDescent="0.3">
      <c r="A39" s="6" t="s">
        <v>418</v>
      </c>
    </row>
    <row r="40" spans="1:15" x14ac:dyDescent="0.3">
      <c r="A40" s="6"/>
    </row>
    <row r="41" spans="1:15" x14ac:dyDescent="0.3">
      <c r="A41" s="6" t="s">
        <v>71</v>
      </c>
    </row>
    <row r="42" spans="1:15" x14ac:dyDescent="0.3">
      <c r="A42" s="6"/>
    </row>
    <row r="43" spans="1:15" x14ac:dyDescent="0.3">
      <c r="A43" s="6" t="s">
        <v>72</v>
      </c>
    </row>
    <row r="45" spans="1:15" x14ac:dyDescent="0.3">
      <c r="A45" s="6" t="s">
        <v>73</v>
      </c>
    </row>
    <row r="46" spans="1:15" ht="4" customHeight="1" x14ac:dyDescent="0.3">
      <c r="A46" s="6"/>
    </row>
    <row r="47" spans="1:15" ht="41.5" customHeight="1" x14ac:dyDescent="0.3">
      <c r="A47" s="203" t="s">
        <v>382</v>
      </c>
      <c r="B47" s="203"/>
      <c r="C47" s="203"/>
      <c r="D47" s="203"/>
      <c r="E47" s="203"/>
      <c r="F47" s="203"/>
      <c r="G47" s="203"/>
      <c r="H47" s="203"/>
      <c r="I47" s="203"/>
      <c r="J47" s="203"/>
      <c r="K47" s="203"/>
      <c r="L47" s="203"/>
      <c r="M47" s="203"/>
      <c r="N47" s="203"/>
      <c r="O47" s="203"/>
    </row>
    <row r="49" spans="1:1" x14ac:dyDescent="0.3">
      <c r="A49" s="2" t="s">
        <v>74</v>
      </c>
    </row>
    <row r="50" spans="1:1" x14ac:dyDescent="0.3">
      <c r="A50" s="6" t="s">
        <v>75</v>
      </c>
    </row>
    <row r="51" spans="1:1" x14ac:dyDescent="0.3">
      <c r="A51" s="6"/>
    </row>
  </sheetData>
  <mergeCells count="17">
    <mergeCell ref="B16:J16"/>
    <mergeCell ref="B17:J17"/>
    <mergeCell ref="B18:J18"/>
    <mergeCell ref="B19:J19"/>
    <mergeCell ref="B22:J22"/>
    <mergeCell ref="B20:J20"/>
    <mergeCell ref="A3:O3"/>
    <mergeCell ref="A5:O5"/>
    <mergeCell ref="L15:O15"/>
    <mergeCell ref="B14:J14"/>
    <mergeCell ref="B15:J15"/>
    <mergeCell ref="B21:J21"/>
    <mergeCell ref="L24:O24"/>
    <mergeCell ref="A26:O26"/>
    <mergeCell ref="A47:O47"/>
    <mergeCell ref="B24:J24"/>
    <mergeCell ref="B23:J23"/>
  </mergeCells>
  <pageMargins left="0.70866141732283472" right="0.66929133858267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386BA-84CF-4330-A820-C777A814F3FD}">
  <sheetPr>
    <pageSetUpPr fitToPage="1"/>
  </sheetPr>
  <dimension ref="A1:M37"/>
  <sheetViews>
    <sheetView topLeftCell="A15" zoomScaleNormal="100" workbookViewId="0"/>
  </sheetViews>
  <sheetFormatPr defaultColWidth="9.1796875" defaultRowHeight="14" x14ac:dyDescent="0.3"/>
  <cols>
    <col min="1" max="1" width="27.81640625" style="2" customWidth="1"/>
    <col min="2" max="2" width="11.81640625" style="2" customWidth="1"/>
    <col min="3" max="16384" width="9.1796875" style="2"/>
  </cols>
  <sheetData>
    <row r="1" spans="1:13" x14ac:dyDescent="0.3">
      <c r="A1" s="101" t="s">
        <v>76</v>
      </c>
      <c r="B1" s="102"/>
      <c r="C1" s="102"/>
      <c r="D1" s="114"/>
      <c r="E1" s="102"/>
      <c r="F1" s="102"/>
      <c r="G1" s="102"/>
      <c r="H1" s="102"/>
      <c r="I1" s="102"/>
      <c r="J1" s="102"/>
      <c r="K1" s="102"/>
      <c r="L1" s="102"/>
      <c r="M1" s="105"/>
    </row>
    <row r="2" spans="1:13" x14ac:dyDescent="0.3">
      <c r="A2" s="109" t="s">
        <v>77</v>
      </c>
      <c r="D2" s="115" t="s">
        <v>78</v>
      </c>
      <c r="M2" s="107"/>
    </row>
    <row r="3" spans="1:13" x14ac:dyDescent="0.3">
      <c r="A3" s="33"/>
      <c r="B3" s="33"/>
      <c r="C3" s="33"/>
      <c r="D3" s="115"/>
      <c r="E3" s="97" t="s">
        <v>79</v>
      </c>
      <c r="M3" s="107"/>
    </row>
    <row r="4" spans="1:13" x14ac:dyDescent="0.3">
      <c r="A4" s="214" t="s">
        <v>80</v>
      </c>
      <c r="B4" s="214"/>
      <c r="C4" s="33"/>
      <c r="D4" s="115"/>
      <c r="E4" s="6" t="s">
        <v>81</v>
      </c>
      <c r="F4" s="97"/>
      <c r="G4" s="97"/>
      <c r="H4" s="97"/>
      <c r="M4" s="107"/>
    </row>
    <row r="5" spans="1:13" ht="14.15" customHeight="1" x14ac:dyDescent="0.3">
      <c r="A5" s="33"/>
      <c r="B5" s="33" t="s">
        <v>7</v>
      </c>
      <c r="C5" s="33"/>
      <c r="D5" s="116"/>
      <c r="E5" s="97" t="s">
        <v>82</v>
      </c>
      <c r="F5" s="6"/>
      <c r="G5" s="6"/>
      <c r="H5" s="97"/>
      <c r="M5" s="107"/>
    </row>
    <row r="6" spans="1:13" ht="14.15" customHeight="1" x14ac:dyDescent="0.3">
      <c r="A6" s="36" t="s">
        <v>83</v>
      </c>
      <c r="B6" s="39">
        <v>120000</v>
      </c>
      <c r="C6" s="33"/>
      <c r="D6" s="116"/>
      <c r="E6" s="6" t="s">
        <v>84</v>
      </c>
      <c r="F6" s="97"/>
      <c r="G6" s="97"/>
      <c r="H6" s="97"/>
      <c r="M6" s="107"/>
    </row>
    <row r="7" spans="1:13" x14ac:dyDescent="0.3">
      <c r="A7" s="36" t="s">
        <v>85</v>
      </c>
      <c r="B7" s="39">
        <v>32000</v>
      </c>
      <c r="C7" s="33"/>
      <c r="D7" s="117" t="s">
        <v>12</v>
      </c>
      <c r="E7" s="6" t="s">
        <v>383</v>
      </c>
      <c r="F7" s="97"/>
      <c r="G7" s="97"/>
      <c r="H7" s="6"/>
      <c r="M7" s="107"/>
    </row>
    <row r="8" spans="1:13" ht="14.15" customHeight="1" x14ac:dyDescent="0.3">
      <c r="A8" s="36"/>
      <c r="B8" s="39">
        <f>B6+B7</f>
        <v>152000</v>
      </c>
      <c r="C8" s="33"/>
      <c r="D8" s="107"/>
      <c r="E8" s="2" t="s">
        <v>359</v>
      </c>
      <c r="F8" s="6"/>
      <c r="G8" s="6"/>
      <c r="H8" s="6"/>
      <c r="M8" s="107"/>
    </row>
    <row r="9" spans="1:13" ht="14.5" thickBot="1" x14ac:dyDescent="0.35">
      <c r="A9" s="66" t="s">
        <v>86</v>
      </c>
      <c r="B9" s="50">
        <v>8000</v>
      </c>
      <c r="C9" s="65"/>
      <c r="D9" s="117" t="s">
        <v>12</v>
      </c>
      <c r="E9" s="2" t="s">
        <v>358</v>
      </c>
      <c r="M9" s="107"/>
    </row>
    <row r="10" spans="1:13" ht="15" thickTop="1" thickBot="1" x14ac:dyDescent="0.35">
      <c r="A10" s="41" t="s">
        <v>88</v>
      </c>
      <c r="B10" s="68">
        <f>B8-B9</f>
        <v>144000</v>
      </c>
      <c r="C10" s="33"/>
      <c r="D10" s="117" t="s">
        <v>12</v>
      </c>
      <c r="E10" s="2" t="s">
        <v>87</v>
      </c>
      <c r="H10" s="8"/>
      <c r="M10" s="107"/>
    </row>
    <row r="11" spans="1:13" ht="14.5" thickTop="1" x14ac:dyDescent="0.3">
      <c r="A11" s="33"/>
      <c r="B11" s="51"/>
      <c r="C11" s="33"/>
      <c r="D11" s="117"/>
      <c r="E11" s="2" t="s">
        <v>89</v>
      </c>
      <c r="F11" s="8"/>
      <c r="H11" s="97" t="s">
        <v>90</v>
      </c>
      <c r="I11" s="95"/>
      <c r="J11" s="95"/>
      <c r="K11" s="8" t="s">
        <v>91</v>
      </c>
      <c r="M11" s="107"/>
    </row>
    <row r="12" spans="1:13" x14ac:dyDescent="0.3">
      <c r="A12" s="109" t="s">
        <v>43</v>
      </c>
      <c r="D12" s="115" t="s">
        <v>92</v>
      </c>
      <c r="E12" s="8"/>
      <c r="F12" s="8"/>
      <c r="G12" s="8"/>
      <c r="H12" s="8"/>
      <c r="M12" s="107"/>
    </row>
    <row r="13" spans="1:13" x14ac:dyDescent="0.3">
      <c r="A13" s="40" t="s">
        <v>93</v>
      </c>
      <c r="B13" s="42">
        <v>0.05</v>
      </c>
      <c r="C13" s="33"/>
      <c r="D13" s="107"/>
      <c r="E13" s="8" t="s">
        <v>94</v>
      </c>
      <c r="F13" s="8"/>
      <c r="G13" s="8"/>
      <c r="H13" s="8"/>
      <c r="M13" s="107"/>
    </row>
    <row r="14" spans="1:13" x14ac:dyDescent="0.3">
      <c r="A14" s="33" t="s">
        <v>95</v>
      </c>
      <c r="B14" s="39">
        <v>40000</v>
      </c>
      <c r="C14" s="33"/>
      <c r="D14" s="107"/>
      <c r="E14" s="8" t="s">
        <v>96</v>
      </c>
      <c r="F14" s="8"/>
      <c r="G14" s="8"/>
      <c r="H14" s="8"/>
      <c r="M14" s="107"/>
    </row>
    <row r="15" spans="1:13" ht="14.15" customHeight="1" thickBot="1" x14ac:dyDescent="0.35">
      <c r="A15" s="33" t="s">
        <v>97</v>
      </c>
      <c r="B15" s="39">
        <f>B14*B13</f>
        <v>2000</v>
      </c>
      <c r="C15" s="33"/>
      <c r="D15" s="117" t="s">
        <v>12</v>
      </c>
      <c r="E15" s="97" t="s">
        <v>98</v>
      </c>
      <c r="F15" s="95"/>
      <c r="G15" s="95"/>
      <c r="H15" s="8"/>
      <c r="M15" s="107"/>
    </row>
    <row r="16" spans="1:13" ht="17.5" customHeight="1" thickTop="1" thickBot="1" x14ac:dyDescent="0.35">
      <c r="A16" s="67" t="s">
        <v>99</v>
      </c>
      <c r="B16" s="68">
        <f>B14-B15</f>
        <v>38000</v>
      </c>
      <c r="C16" s="65"/>
      <c r="D16" s="117" t="s">
        <v>12</v>
      </c>
      <c r="E16" s="8" t="s">
        <v>100</v>
      </c>
      <c r="M16" s="107"/>
    </row>
    <row r="17" spans="1:13" ht="14.5" thickTop="1" x14ac:dyDescent="0.3">
      <c r="A17" s="33"/>
      <c r="B17" s="69"/>
      <c r="C17" s="33"/>
      <c r="D17" s="107"/>
      <c r="F17" s="96"/>
      <c r="G17" s="96"/>
      <c r="H17" s="96"/>
      <c r="M17" s="107"/>
    </row>
    <row r="18" spans="1:13" x14ac:dyDescent="0.3">
      <c r="A18" s="109" t="s">
        <v>101</v>
      </c>
      <c r="D18" s="115" t="s">
        <v>78</v>
      </c>
      <c r="E18" s="8"/>
      <c r="F18" s="8"/>
      <c r="G18" s="8"/>
      <c r="H18" s="8"/>
      <c r="M18" s="107"/>
    </row>
    <row r="19" spans="1:13" x14ac:dyDescent="0.3">
      <c r="A19" s="40" t="s">
        <v>102</v>
      </c>
      <c r="B19" s="42">
        <v>0.12</v>
      </c>
      <c r="C19" s="33"/>
      <c r="D19" s="116"/>
      <c r="E19" s="2" t="s">
        <v>87</v>
      </c>
      <c r="H19" s="8"/>
      <c r="M19" s="107"/>
    </row>
    <row r="20" spans="1:13" x14ac:dyDescent="0.3">
      <c r="A20" s="33" t="s">
        <v>103</v>
      </c>
      <c r="B20" s="33"/>
      <c r="C20" s="39">
        <v>60000</v>
      </c>
      <c r="D20" s="116"/>
      <c r="E20" s="2" t="s">
        <v>104</v>
      </c>
      <c r="H20" s="8"/>
      <c r="M20" s="107"/>
    </row>
    <row r="21" spans="1:13" x14ac:dyDescent="0.3">
      <c r="A21" s="33" t="s">
        <v>105</v>
      </c>
      <c r="B21" s="39">
        <v>3600</v>
      </c>
      <c r="C21" s="33"/>
      <c r="D21" s="117" t="s">
        <v>12</v>
      </c>
      <c r="E21" s="8" t="s">
        <v>106</v>
      </c>
      <c r="H21" s="8"/>
      <c r="M21" s="107"/>
    </row>
    <row r="22" spans="1:13" ht="14.5" thickBot="1" x14ac:dyDescent="0.35">
      <c r="A22" s="33" t="s">
        <v>107</v>
      </c>
      <c r="B22" s="50">
        <f>C20*B19</f>
        <v>7200</v>
      </c>
      <c r="C22" s="52">
        <f>B21+B22</f>
        <v>10800</v>
      </c>
      <c r="D22" s="117" t="s">
        <v>12</v>
      </c>
      <c r="E22" s="2" t="s">
        <v>108</v>
      </c>
      <c r="H22" s="8"/>
      <c r="M22" s="107"/>
    </row>
    <row r="23" spans="1:13" ht="15" thickTop="1" thickBot="1" x14ac:dyDescent="0.35">
      <c r="A23" s="40" t="s">
        <v>109</v>
      </c>
      <c r="B23" s="51"/>
      <c r="C23" s="53">
        <f>C20-C22</f>
        <v>49200</v>
      </c>
      <c r="D23" s="117" t="s">
        <v>12</v>
      </c>
      <c r="E23" s="8" t="s">
        <v>110</v>
      </c>
      <c r="F23" s="8"/>
      <c r="G23" s="8"/>
      <c r="H23" s="8"/>
      <c r="M23" s="107"/>
    </row>
    <row r="24" spans="1:13" ht="9.75" customHeight="1" thickTop="1" x14ac:dyDescent="0.3">
      <c r="A24" s="110"/>
      <c r="B24" s="13"/>
      <c r="C24" s="112"/>
      <c r="D24" s="111"/>
      <c r="E24" s="113"/>
      <c r="F24" s="113"/>
      <c r="G24" s="113"/>
      <c r="H24" s="113"/>
      <c r="I24" s="13"/>
      <c r="J24" s="13"/>
      <c r="K24" s="13"/>
      <c r="L24" s="13"/>
      <c r="M24" s="111"/>
    </row>
    <row r="25" spans="1:13" x14ac:dyDescent="0.3">
      <c r="A25" s="101" t="s">
        <v>111</v>
      </c>
      <c r="B25" s="102"/>
      <c r="C25" s="102"/>
      <c r="D25" s="114" t="s">
        <v>92</v>
      </c>
      <c r="E25" s="104"/>
      <c r="F25" s="104"/>
      <c r="G25" s="104"/>
      <c r="H25" s="104"/>
      <c r="I25" s="102"/>
      <c r="J25" s="102"/>
      <c r="K25" s="102"/>
      <c r="L25" s="102"/>
      <c r="M25" s="105"/>
    </row>
    <row r="26" spans="1:13" ht="18" customHeight="1" x14ac:dyDescent="0.3">
      <c r="A26" s="106" t="s">
        <v>112</v>
      </c>
      <c r="D26" s="107"/>
      <c r="E26" s="12"/>
      <c r="F26" s="12"/>
      <c r="G26" s="12"/>
      <c r="H26" s="12"/>
      <c r="M26" s="107"/>
    </row>
    <row r="27" spans="1:13" ht="14.15" customHeight="1" x14ac:dyDescent="0.3">
      <c r="A27" s="108" t="s">
        <v>113</v>
      </c>
      <c r="D27" s="117" t="s">
        <v>12</v>
      </c>
      <c r="E27" s="8" t="s">
        <v>114</v>
      </c>
      <c r="F27" s="8"/>
      <c r="G27" s="8"/>
      <c r="H27" s="8"/>
      <c r="M27" s="107"/>
    </row>
    <row r="28" spans="1:13" x14ac:dyDescent="0.3">
      <c r="A28" s="106" t="s">
        <v>115</v>
      </c>
      <c r="D28" s="117"/>
      <c r="E28" s="8" t="s">
        <v>116</v>
      </c>
      <c r="F28" s="8"/>
      <c r="G28" s="8"/>
      <c r="H28" s="8"/>
      <c r="M28" s="107"/>
    </row>
    <row r="29" spans="1:13" x14ac:dyDescent="0.3">
      <c r="A29" s="108" t="s">
        <v>117</v>
      </c>
      <c r="D29" s="117" t="s">
        <v>12</v>
      </c>
      <c r="E29" s="8"/>
      <c r="F29" s="8"/>
      <c r="G29" s="8"/>
      <c r="H29" s="8"/>
      <c r="M29" s="107"/>
    </row>
    <row r="30" spans="1:13" ht="8.25" customHeight="1" x14ac:dyDescent="0.3">
      <c r="A30" s="108"/>
      <c r="D30" s="117"/>
      <c r="E30" s="8"/>
      <c r="F30" s="8"/>
      <c r="G30" s="8"/>
      <c r="H30" s="8"/>
      <c r="M30" s="107"/>
    </row>
    <row r="31" spans="1:13" x14ac:dyDescent="0.3">
      <c r="A31" s="101" t="s">
        <v>118</v>
      </c>
      <c r="B31" s="102"/>
      <c r="C31" s="102"/>
      <c r="D31" s="114" t="s">
        <v>45</v>
      </c>
      <c r="E31" s="104"/>
      <c r="F31" s="104"/>
      <c r="G31" s="104"/>
      <c r="H31" s="104"/>
      <c r="I31" s="102"/>
      <c r="J31" s="102"/>
      <c r="K31" s="102"/>
      <c r="L31" s="102"/>
      <c r="M31" s="105"/>
    </row>
    <row r="32" spans="1:13" ht="14.15" customHeight="1" x14ac:dyDescent="0.3">
      <c r="A32" s="108" t="s">
        <v>119</v>
      </c>
      <c r="D32" s="117" t="s">
        <v>12</v>
      </c>
      <c r="E32" s="8" t="s">
        <v>385</v>
      </c>
      <c r="F32" s="8"/>
      <c r="G32" s="8"/>
      <c r="H32" s="8"/>
      <c r="M32" s="107"/>
    </row>
    <row r="33" spans="1:13" x14ac:dyDescent="0.3">
      <c r="A33" s="108" t="s">
        <v>360</v>
      </c>
      <c r="D33" s="107"/>
      <c r="E33" s="2" t="s">
        <v>120</v>
      </c>
      <c r="F33" s="12"/>
      <c r="G33" s="12"/>
      <c r="M33" s="107"/>
    </row>
    <row r="34" spans="1:13" x14ac:dyDescent="0.3">
      <c r="A34" s="108"/>
      <c r="D34" s="107"/>
      <c r="E34" s="2" t="s">
        <v>121</v>
      </c>
      <c r="M34" s="107"/>
    </row>
    <row r="35" spans="1:13" x14ac:dyDescent="0.3">
      <c r="A35" s="108"/>
      <c r="D35" s="107"/>
      <c r="E35" s="2" t="s">
        <v>384</v>
      </c>
      <c r="M35" s="107"/>
    </row>
    <row r="36" spans="1:13" x14ac:dyDescent="0.3">
      <c r="A36" s="108"/>
      <c r="D36" s="107"/>
      <c r="E36" s="2" t="s">
        <v>386</v>
      </c>
      <c r="M36" s="107"/>
    </row>
    <row r="37" spans="1:13" ht="5.25" customHeight="1" x14ac:dyDescent="0.3">
      <c r="A37" s="110"/>
      <c r="B37" s="13"/>
      <c r="C37" s="13"/>
      <c r="D37" s="111"/>
      <c r="E37" s="13"/>
      <c r="F37" s="13"/>
      <c r="G37" s="13"/>
      <c r="H37" s="13"/>
      <c r="I37" s="13"/>
      <c r="J37" s="13"/>
      <c r="K37" s="13"/>
      <c r="L37" s="13"/>
      <c r="M37" s="111"/>
    </row>
  </sheetData>
  <mergeCells count="1">
    <mergeCell ref="A4:B4"/>
  </mergeCells>
  <pageMargins left="0.7" right="0.7" top="0.75" bottom="0.75" header="0.3" footer="0.3"/>
  <pageSetup paperSize="9" scale="9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9282-2675-4574-92D5-D2929FE32A51}">
  <sheetPr>
    <pageSetUpPr fitToPage="1"/>
  </sheetPr>
  <dimension ref="A1:O65"/>
  <sheetViews>
    <sheetView topLeftCell="A30" zoomScaleNormal="100" workbookViewId="0"/>
  </sheetViews>
  <sheetFormatPr defaultColWidth="9.1796875" defaultRowHeight="14" x14ac:dyDescent="0.3"/>
  <cols>
    <col min="1" max="1" width="16.54296875" style="2" customWidth="1"/>
    <col min="2" max="2" width="10.1796875" style="2" bestFit="1" customWidth="1"/>
    <col min="3" max="3" width="6.453125" style="2" customWidth="1"/>
    <col min="4" max="4" width="11.26953125" style="2" bestFit="1" customWidth="1"/>
    <col min="5" max="5" width="7.1796875" style="2" customWidth="1"/>
    <col min="6" max="6" width="11.26953125" style="2" bestFit="1" customWidth="1"/>
    <col min="7" max="7" width="8" style="2" customWidth="1"/>
    <col min="8" max="16384" width="9.1796875" style="2"/>
  </cols>
  <sheetData>
    <row r="1" spans="1:15" x14ac:dyDescent="0.3">
      <c r="A1" s="7" t="s">
        <v>122</v>
      </c>
    </row>
    <row r="2" spans="1:15" x14ac:dyDescent="0.3">
      <c r="A2" s="1" t="s">
        <v>77</v>
      </c>
      <c r="G2" s="22" t="s">
        <v>123</v>
      </c>
    </row>
    <row r="3" spans="1:15" x14ac:dyDescent="0.3">
      <c r="G3" s="22"/>
    </row>
    <row r="4" spans="1:15" ht="17.25" customHeight="1" x14ac:dyDescent="0.3">
      <c r="A4" s="224" t="s">
        <v>124</v>
      </c>
      <c r="B4" s="224"/>
      <c r="C4" s="224"/>
      <c r="D4" s="224"/>
      <c r="E4" s="224"/>
      <c r="F4" s="224"/>
      <c r="G4" s="21" t="s">
        <v>12</v>
      </c>
      <c r="H4" s="118" t="s">
        <v>125</v>
      </c>
      <c r="I4" s="119"/>
      <c r="J4" s="119"/>
      <c r="K4" s="119"/>
      <c r="L4" s="102"/>
      <c r="M4" s="102"/>
      <c r="N4" s="102"/>
      <c r="O4" s="105"/>
    </row>
    <row r="5" spans="1:15" ht="14.5" customHeight="1" x14ac:dyDescent="0.3">
      <c r="A5" s="41"/>
      <c r="B5" s="43" t="s">
        <v>126</v>
      </c>
      <c r="C5" s="43"/>
      <c r="D5" s="43" t="s">
        <v>127</v>
      </c>
      <c r="E5" s="43"/>
      <c r="F5" s="43" t="s">
        <v>128</v>
      </c>
      <c r="G5" s="22"/>
      <c r="H5" s="120"/>
      <c r="I5" s="2" t="s">
        <v>129</v>
      </c>
      <c r="J5" s="95"/>
      <c r="K5" s="95"/>
      <c r="O5" s="107"/>
    </row>
    <row r="6" spans="1:15" ht="14.15" customHeight="1" x14ac:dyDescent="0.3">
      <c r="A6" s="36" t="s">
        <v>130</v>
      </c>
      <c r="B6" s="86">
        <v>15000</v>
      </c>
      <c r="C6" s="45" t="s">
        <v>12</v>
      </c>
      <c r="D6" s="86">
        <f>B23</f>
        <v>58500</v>
      </c>
      <c r="E6" s="44"/>
      <c r="F6" s="86">
        <f>D23</f>
        <v>81200</v>
      </c>
      <c r="H6" s="120"/>
      <c r="I6" s="2" t="s">
        <v>131</v>
      </c>
      <c r="J6" s="95"/>
      <c r="K6" s="95"/>
      <c r="O6" s="107"/>
    </row>
    <row r="7" spans="1:15" ht="14.5" customHeight="1" x14ac:dyDescent="0.3">
      <c r="A7" s="41" t="s">
        <v>132</v>
      </c>
      <c r="B7" s="86"/>
      <c r="C7" s="44"/>
      <c r="D7" s="86"/>
      <c r="E7" s="44"/>
      <c r="F7" s="90"/>
      <c r="H7" s="120"/>
      <c r="I7" s="2" t="s">
        <v>133</v>
      </c>
      <c r="J7" s="95"/>
      <c r="K7" s="95"/>
      <c r="O7" s="107"/>
    </row>
    <row r="8" spans="1:15" ht="14.15" customHeight="1" x14ac:dyDescent="0.3">
      <c r="A8" s="36" t="s">
        <v>134</v>
      </c>
      <c r="B8" s="86">
        <f>(75%*3600)*(40-(40*10%))</f>
        <v>97200</v>
      </c>
      <c r="C8" s="45" t="s">
        <v>135</v>
      </c>
      <c r="D8" s="86">
        <f>(75%*4000)*(40-(40*10%))</f>
        <v>108000</v>
      </c>
      <c r="E8" s="45" t="s">
        <v>12</v>
      </c>
      <c r="F8" s="86">
        <f>(75%*4400)*(40-(40*10%))</f>
        <v>118800</v>
      </c>
      <c r="G8" s="21" t="s">
        <v>12</v>
      </c>
      <c r="H8" s="120"/>
      <c r="I8" s="2" t="s">
        <v>136</v>
      </c>
      <c r="J8" s="95"/>
      <c r="K8" s="95"/>
      <c r="O8" s="107"/>
    </row>
    <row r="9" spans="1:15" ht="14.5" customHeight="1" x14ac:dyDescent="0.3">
      <c r="A9" s="36" t="s">
        <v>137</v>
      </c>
      <c r="B9" s="86">
        <v>0</v>
      </c>
      <c r="C9" s="45" t="s">
        <v>12</v>
      </c>
      <c r="D9" s="86">
        <f>(25%*3600)*40</f>
        <v>36000</v>
      </c>
      <c r="E9" s="45" t="s">
        <v>135</v>
      </c>
      <c r="F9" s="86">
        <f>(25%*4000)*40</f>
        <v>40000</v>
      </c>
      <c r="G9" s="21" t="s">
        <v>12</v>
      </c>
      <c r="H9" s="120"/>
      <c r="I9" s="95"/>
      <c r="J9" s="95"/>
      <c r="K9" s="95"/>
      <c r="O9" s="107"/>
    </row>
    <row r="10" spans="1:15" ht="14.5" customHeight="1" thickBot="1" x14ac:dyDescent="0.35">
      <c r="A10" s="36" t="s">
        <v>138</v>
      </c>
      <c r="B10" s="54"/>
      <c r="C10" s="44"/>
      <c r="D10" s="87">
        <v>10000</v>
      </c>
      <c r="E10" s="45" t="s">
        <v>12</v>
      </c>
      <c r="F10" s="87"/>
      <c r="H10" s="124" t="s">
        <v>404</v>
      </c>
      <c r="I10" s="119"/>
      <c r="J10" s="119"/>
      <c r="K10" s="119"/>
      <c r="L10" s="102"/>
      <c r="M10" s="102"/>
      <c r="N10" s="102"/>
      <c r="O10" s="105"/>
    </row>
    <row r="11" spans="1:15" ht="14.15" customHeight="1" thickTop="1" thickBot="1" x14ac:dyDescent="0.35">
      <c r="A11" s="36"/>
      <c r="B11" s="89">
        <f>SUM(B8:B10)</f>
        <v>97200</v>
      </c>
      <c r="C11" s="44"/>
      <c r="D11" s="88">
        <f t="shared" ref="D11:F11" si="0">SUM(D8:D10)</f>
        <v>154000</v>
      </c>
      <c r="E11" s="44"/>
      <c r="F11" s="89">
        <f t="shared" si="0"/>
        <v>158800</v>
      </c>
      <c r="H11" s="120"/>
      <c r="I11" s="95"/>
      <c r="J11" s="95"/>
      <c r="K11" s="95"/>
      <c r="O11" s="107"/>
    </row>
    <row r="12" spans="1:15" ht="14.5" customHeight="1" thickTop="1" x14ac:dyDescent="0.3">
      <c r="A12" s="36"/>
      <c r="B12" s="55"/>
      <c r="C12" s="44"/>
      <c r="D12" s="46"/>
      <c r="E12" s="44"/>
      <c r="F12" s="55"/>
      <c r="H12" s="118" t="s">
        <v>403</v>
      </c>
      <c r="I12" s="125"/>
      <c r="J12" s="125"/>
      <c r="K12" s="125"/>
      <c r="L12" s="102"/>
      <c r="M12" s="102"/>
      <c r="N12" s="102"/>
      <c r="O12" s="105"/>
    </row>
    <row r="13" spans="1:15" ht="14.5" customHeight="1" x14ac:dyDescent="0.3">
      <c r="A13" s="41" t="s">
        <v>139</v>
      </c>
      <c r="B13" s="44"/>
      <c r="C13" s="44"/>
      <c r="D13" s="44"/>
      <c r="E13" s="44"/>
      <c r="F13" s="44"/>
      <c r="H13" s="123"/>
      <c r="I13" s="122"/>
      <c r="J13" s="122"/>
      <c r="K13" s="122"/>
      <c r="O13" s="107"/>
    </row>
    <row r="14" spans="1:15" x14ac:dyDescent="0.3">
      <c r="A14" s="36" t="s">
        <v>140</v>
      </c>
      <c r="B14" s="86">
        <f>10*4000</f>
        <v>40000</v>
      </c>
      <c r="C14" s="45" t="s">
        <v>12</v>
      </c>
      <c r="D14" s="86">
        <f>10*4500</f>
        <v>45000</v>
      </c>
      <c r="E14" s="45"/>
      <c r="F14" s="86">
        <f>10*5000</f>
        <v>50000</v>
      </c>
      <c r="G14" s="21" t="s">
        <v>12</v>
      </c>
      <c r="H14" s="124" t="s">
        <v>401</v>
      </c>
      <c r="I14" s="102"/>
      <c r="J14" s="102"/>
      <c r="K14" s="102"/>
      <c r="L14" s="102"/>
      <c r="M14" s="102"/>
      <c r="N14" s="102"/>
      <c r="O14" s="105"/>
    </row>
    <row r="15" spans="1:15" x14ac:dyDescent="0.3">
      <c r="A15" s="36" t="s">
        <v>141</v>
      </c>
      <c r="B15" s="86">
        <v>0</v>
      </c>
      <c r="C15" s="70" t="s">
        <v>12</v>
      </c>
      <c r="D15" s="86">
        <f>16*4000</f>
        <v>64000</v>
      </c>
      <c r="E15" s="45" t="s">
        <v>12</v>
      </c>
      <c r="F15" s="86">
        <f>16*4500</f>
        <v>72000</v>
      </c>
      <c r="G15" s="21" t="s">
        <v>12</v>
      </c>
      <c r="H15" s="121" t="s">
        <v>402</v>
      </c>
      <c r="O15" s="107"/>
    </row>
    <row r="16" spans="1:15" x14ac:dyDescent="0.3">
      <c r="A16" s="36" t="s">
        <v>142</v>
      </c>
      <c r="B16" s="86">
        <v>0</v>
      </c>
      <c r="C16" s="70" t="s">
        <v>12</v>
      </c>
      <c r="D16" s="86">
        <f>2*4000</f>
        <v>8000</v>
      </c>
      <c r="E16" s="45" t="s">
        <v>12</v>
      </c>
      <c r="F16" s="86">
        <f>2*4500</f>
        <v>9000</v>
      </c>
      <c r="G16" s="21" t="s">
        <v>12</v>
      </c>
      <c r="H16" s="108"/>
      <c r="O16" s="107"/>
    </row>
    <row r="17" spans="1:15" x14ac:dyDescent="0.3">
      <c r="A17" s="36" t="s">
        <v>143</v>
      </c>
      <c r="B17" s="86">
        <v>2500</v>
      </c>
      <c r="C17" s="44"/>
      <c r="D17" s="86">
        <v>2500</v>
      </c>
      <c r="E17" s="44"/>
      <c r="F17" s="86">
        <v>2500</v>
      </c>
      <c r="G17" s="21" t="s">
        <v>144</v>
      </c>
      <c r="H17" s="124" t="s">
        <v>145</v>
      </c>
      <c r="I17" s="102"/>
      <c r="J17" s="102"/>
      <c r="K17" s="102"/>
      <c r="L17" s="102"/>
      <c r="M17" s="102"/>
      <c r="N17" s="102"/>
      <c r="O17" s="105"/>
    </row>
    <row r="18" spans="1:15" x14ac:dyDescent="0.3">
      <c r="A18" s="36" t="s">
        <v>146</v>
      </c>
      <c r="B18" s="86">
        <f>5000*20%</f>
        <v>1000</v>
      </c>
      <c r="C18" s="45" t="s">
        <v>12</v>
      </c>
      <c r="D18" s="86">
        <f>(5000-$B$18)/5</f>
        <v>800</v>
      </c>
      <c r="E18" s="45" t="s">
        <v>41</v>
      </c>
      <c r="F18" s="86">
        <f>(5000-$B$18)/5</f>
        <v>800</v>
      </c>
      <c r="G18" s="21" t="s">
        <v>12</v>
      </c>
      <c r="H18" s="121" t="s">
        <v>147</v>
      </c>
      <c r="O18" s="107"/>
    </row>
    <row r="19" spans="1:15" x14ac:dyDescent="0.3">
      <c r="A19" s="36" t="s">
        <v>148</v>
      </c>
      <c r="B19" s="86">
        <f>2*3600</f>
        <v>7200</v>
      </c>
      <c r="C19" s="45" t="s">
        <v>12</v>
      </c>
      <c r="D19" s="86">
        <f>2*4000</f>
        <v>8000</v>
      </c>
      <c r="E19" s="45"/>
      <c r="F19" s="86">
        <f>2*4400</f>
        <v>8800</v>
      </c>
      <c r="G19" s="21" t="s">
        <v>12</v>
      </c>
      <c r="H19" s="108"/>
      <c r="O19" s="107"/>
    </row>
    <row r="20" spans="1:15" ht="14.5" thickBot="1" x14ac:dyDescent="0.35">
      <c r="A20" s="36" t="s">
        <v>149</v>
      </c>
      <c r="B20" s="91">
        <v>3000</v>
      </c>
      <c r="C20" s="44"/>
      <c r="D20" s="87">
        <v>3000</v>
      </c>
      <c r="E20" s="45" t="s">
        <v>12</v>
      </c>
      <c r="F20" s="91">
        <f>3000+(3000*30%)</f>
        <v>3900</v>
      </c>
      <c r="G20" s="21" t="s">
        <v>12</v>
      </c>
      <c r="H20" s="118" t="s">
        <v>405</v>
      </c>
      <c r="I20" s="102"/>
      <c r="J20" s="102"/>
      <c r="K20" s="102"/>
      <c r="L20" s="102"/>
      <c r="M20" s="102"/>
      <c r="N20" s="102"/>
      <c r="O20" s="105"/>
    </row>
    <row r="21" spans="1:15" ht="15" thickTop="1" thickBot="1" x14ac:dyDescent="0.35">
      <c r="A21" s="36"/>
      <c r="B21" s="92">
        <f>SUM(B14:B20)</f>
        <v>53700</v>
      </c>
      <c r="C21" s="44"/>
      <c r="D21" s="88">
        <f>SUM(D14:D20)</f>
        <v>131300</v>
      </c>
      <c r="E21" s="44"/>
      <c r="F21" s="88">
        <f>SUM(F14:F20)</f>
        <v>147000</v>
      </c>
      <c r="H21" s="108"/>
      <c r="O21" s="107"/>
    </row>
    <row r="22" spans="1:15" ht="15" thickTop="1" thickBot="1" x14ac:dyDescent="0.35">
      <c r="A22" s="36"/>
      <c r="B22" s="88"/>
      <c r="C22" s="44"/>
      <c r="D22" s="88"/>
      <c r="E22" s="44"/>
      <c r="F22" s="93"/>
      <c r="H22" s="118" t="s">
        <v>150</v>
      </c>
      <c r="I22" s="102"/>
      <c r="J22" s="102"/>
      <c r="K22" s="102"/>
      <c r="L22" s="102"/>
      <c r="M22" s="102"/>
      <c r="N22" s="102"/>
      <c r="O22" s="105"/>
    </row>
    <row r="23" spans="1:15" ht="15" thickTop="1" thickBot="1" x14ac:dyDescent="0.35">
      <c r="A23" s="36" t="s">
        <v>151</v>
      </c>
      <c r="B23" s="88">
        <f>B6+B11-B21</f>
        <v>58500</v>
      </c>
      <c r="C23" s="44"/>
      <c r="D23" s="88">
        <f>D6+D11-D21</f>
        <v>81200</v>
      </c>
      <c r="E23" s="44"/>
      <c r="F23" s="88">
        <f>F6+F11-F21</f>
        <v>93000</v>
      </c>
      <c r="G23" s="21" t="s">
        <v>12</v>
      </c>
      <c r="H23" s="108" t="s">
        <v>152</v>
      </c>
      <c r="O23" s="107"/>
    </row>
    <row r="24" spans="1:15" ht="14.5" thickTop="1" x14ac:dyDescent="0.3">
      <c r="H24" s="108" t="s">
        <v>153</v>
      </c>
      <c r="O24" s="107"/>
    </row>
    <row r="25" spans="1:15" x14ac:dyDescent="0.3">
      <c r="A25" s="3" t="s">
        <v>154</v>
      </c>
      <c r="H25" s="108"/>
      <c r="O25" s="107"/>
    </row>
    <row r="26" spans="1:15" x14ac:dyDescent="0.3">
      <c r="A26" s="6" t="s">
        <v>155</v>
      </c>
      <c r="H26" s="118" t="s">
        <v>156</v>
      </c>
      <c r="I26" s="102"/>
      <c r="J26" s="102"/>
      <c r="K26" s="102"/>
      <c r="L26" s="102"/>
      <c r="M26" s="102"/>
      <c r="N26" s="102"/>
      <c r="O26" s="105"/>
    </row>
    <row r="27" spans="1:15" x14ac:dyDescent="0.3">
      <c r="A27" s="6" t="s">
        <v>157</v>
      </c>
      <c r="H27" s="108" t="s">
        <v>158</v>
      </c>
      <c r="O27" s="107"/>
    </row>
    <row r="28" spans="1:15" x14ac:dyDescent="0.3">
      <c r="A28" s="6"/>
      <c r="H28" s="108" t="s">
        <v>159</v>
      </c>
      <c r="O28" s="107"/>
    </row>
    <row r="29" spans="1:15" x14ac:dyDescent="0.3">
      <c r="A29" s="6" t="s">
        <v>160</v>
      </c>
      <c r="H29" s="108" t="s">
        <v>406</v>
      </c>
      <c r="O29" s="107"/>
    </row>
    <row r="30" spans="1:15" x14ac:dyDescent="0.3">
      <c r="A30" s="6"/>
      <c r="H30" s="108"/>
      <c r="O30" s="107"/>
    </row>
    <row r="31" spans="1:15" x14ac:dyDescent="0.3">
      <c r="A31" s="6" t="s">
        <v>161</v>
      </c>
      <c r="H31" s="118" t="s">
        <v>361</v>
      </c>
      <c r="I31" s="102"/>
      <c r="J31" s="102"/>
      <c r="K31" s="102"/>
      <c r="L31" s="102"/>
      <c r="M31" s="102"/>
      <c r="N31" s="102"/>
      <c r="O31" s="105"/>
    </row>
    <row r="32" spans="1:15" x14ac:dyDescent="0.3">
      <c r="A32" s="6" t="s">
        <v>162</v>
      </c>
      <c r="H32" s="108"/>
      <c r="O32" s="107"/>
    </row>
    <row r="33" spans="1:15" x14ac:dyDescent="0.3">
      <c r="A33" s="2" t="s">
        <v>163</v>
      </c>
      <c r="H33" s="118" t="s">
        <v>407</v>
      </c>
      <c r="I33" s="102"/>
      <c r="J33" s="102"/>
      <c r="K33" s="102"/>
      <c r="L33" s="102"/>
      <c r="M33" s="102"/>
      <c r="N33" s="102"/>
      <c r="O33" s="105"/>
    </row>
    <row r="34" spans="1:15" x14ac:dyDescent="0.3">
      <c r="H34" s="108" t="s">
        <v>408</v>
      </c>
      <c r="O34" s="107"/>
    </row>
    <row r="35" spans="1:15" x14ac:dyDescent="0.3">
      <c r="H35" s="108"/>
      <c r="O35" s="107"/>
    </row>
    <row r="36" spans="1:15" x14ac:dyDescent="0.3">
      <c r="H36" s="118" t="s">
        <v>409</v>
      </c>
      <c r="I36" s="102"/>
      <c r="J36" s="102"/>
      <c r="K36" s="102"/>
      <c r="L36" s="102"/>
      <c r="M36" s="102"/>
      <c r="N36" s="102"/>
      <c r="O36" s="105"/>
    </row>
    <row r="37" spans="1:15" ht="9.75" customHeight="1" x14ac:dyDescent="0.3">
      <c r="H37" s="108"/>
      <c r="O37" s="107"/>
    </row>
    <row r="38" spans="1:15" ht="9" customHeight="1" x14ac:dyDescent="0.3">
      <c r="H38" s="110"/>
      <c r="I38" s="13"/>
      <c r="J38" s="13"/>
      <c r="K38" s="13"/>
      <c r="L38" s="13"/>
      <c r="M38" s="13"/>
      <c r="N38" s="13"/>
      <c r="O38" s="111"/>
    </row>
    <row r="39" spans="1:15" x14ac:dyDescent="0.3">
      <c r="A39" s="101" t="s">
        <v>43</v>
      </c>
      <c r="B39" s="102"/>
      <c r="C39" s="102"/>
      <c r="D39" s="102"/>
      <c r="E39" s="102"/>
      <c r="F39" s="102"/>
      <c r="G39" s="103" t="s">
        <v>92</v>
      </c>
      <c r="H39" s="102"/>
      <c r="I39" s="102"/>
      <c r="J39" s="102"/>
      <c r="K39" s="105"/>
    </row>
    <row r="40" spans="1:15" ht="14.5" customHeight="1" x14ac:dyDescent="0.3">
      <c r="A40" s="126" t="s">
        <v>164</v>
      </c>
      <c r="H40" s="220" t="s">
        <v>387</v>
      </c>
      <c r="I40" s="220"/>
      <c r="J40" s="220"/>
      <c r="K40" s="221"/>
    </row>
    <row r="41" spans="1:15" ht="14.5" customHeight="1" x14ac:dyDescent="0.3">
      <c r="A41" s="126" t="s">
        <v>165</v>
      </c>
      <c r="H41" s="220"/>
      <c r="I41" s="220"/>
      <c r="J41" s="220"/>
      <c r="K41" s="221"/>
    </row>
    <row r="42" spans="1:15" ht="14.5" customHeight="1" x14ac:dyDescent="0.3">
      <c r="A42" s="126" t="s">
        <v>393</v>
      </c>
      <c r="H42" s="220"/>
      <c r="I42" s="220"/>
      <c r="J42" s="220"/>
      <c r="K42" s="221"/>
    </row>
    <row r="43" spans="1:15" x14ac:dyDescent="0.3">
      <c r="A43" s="126" t="s">
        <v>166</v>
      </c>
      <c r="H43" s="220"/>
      <c r="I43" s="220"/>
      <c r="J43" s="220"/>
      <c r="K43" s="221"/>
    </row>
    <row r="44" spans="1:15" x14ac:dyDescent="0.3">
      <c r="A44" s="126" t="s">
        <v>394</v>
      </c>
      <c r="H44" s="127"/>
      <c r="I44" s="127"/>
      <c r="J44" s="127"/>
      <c r="K44" s="128"/>
    </row>
    <row r="45" spans="1:15" x14ac:dyDescent="0.3">
      <c r="A45" s="126" t="s">
        <v>167</v>
      </c>
      <c r="H45" s="220" t="s">
        <v>388</v>
      </c>
      <c r="I45" s="220"/>
      <c r="J45" s="220"/>
      <c r="K45" s="221"/>
    </row>
    <row r="46" spans="1:15" x14ac:dyDescent="0.3">
      <c r="A46" s="126" t="s">
        <v>168</v>
      </c>
      <c r="H46" s="220"/>
      <c r="I46" s="220"/>
      <c r="J46" s="220"/>
      <c r="K46" s="221"/>
    </row>
    <row r="47" spans="1:15" x14ac:dyDescent="0.3">
      <c r="A47" s="126"/>
      <c r="H47" s="222" t="s">
        <v>389</v>
      </c>
      <c r="I47" s="222"/>
      <c r="J47" s="222"/>
      <c r="K47" s="223"/>
    </row>
    <row r="48" spans="1:15" ht="14.5" customHeight="1" x14ac:dyDescent="0.3">
      <c r="A48" s="108" t="s">
        <v>169</v>
      </c>
      <c r="H48" s="222"/>
      <c r="I48" s="222"/>
      <c r="J48" s="222"/>
      <c r="K48" s="223"/>
    </row>
    <row r="49" spans="1:11" x14ac:dyDescent="0.3">
      <c r="A49" s="108" t="s">
        <v>170</v>
      </c>
      <c r="K49" s="107"/>
    </row>
    <row r="50" spans="1:11" x14ac:dyDescent="0.3">
      <c r="A50" s="129"/>
      <c r="K50" s="107"/>
    </row>
    <row r="51" spans="1:11" x14ac:dyDescent="0.3">
      <c r="A51" s="101" t="s">
        <v>101</v>
      </c>
      <c r="B51" s="102"/>
      <c r="C51" s="102"/>
      <c r="D51" s="102"/>
      <c r="E51" s="102"/>
      <c r="F51" s="102"/>
      <c r="G51" s="103" t="s">
        <v>92</v>
      </c>
      <c r="H51" s="130" t="s">
        <v>171</v>
      </c>
      <c r="I51" s="102"/>
      <c r="J51" s="102"/>
      <c r="K51" s="105"/>
    </row>
    <row r="52" spans="1:11" ht="14.5" customHeight="1" x14ac:dyDescent="0.3">
      <c r="A52" s="121" t="s">
        <v>362</v>
      </c>
      <c r="H52" s="215" t="s">
        <v>172</v>
      </c>
      <c r="I52" s="215"/>
      <c r="J52" s="215"/>
      <c r="K52" s="216"/>
    </row>
    <row r="53" spans="1:11" ht="14.5" customHeight="1" x14ac:dyDescent="0.3">
      <c r="A53" s="121" t="s">
        <v>363</v>
      </c>
      <c r="H53" s="215"/>
      <c r="I53" s="215"/>
      <c r="J53" s="215"/>
      <c r="K53" s="216"/>
    </row>
    <row r="54" spans="1:11" ht="14.5" customHeight="1" x14ac:dyDescent="0.3">
      <c r="A54" s="121" t="s">
        <v>364</v>
      </c>
      <c r="H54" s="215" t="s">
        <v>173</v>
      </c>
      <c r="I54" s="215"/>
      <c r="J54" s="215"/>
      <c r="K54" s="216"/>
    </row>
    <row r="55" spans="1:11" ht="30.75" customHeight="1" x14ac:dyDescent="0.3">
      <c r="A55" s="219" t="s">
        <v>365</v>
      </c>
      <c r="B55" s="215"/>
      <c r="C55" s="215"/>
      <c r="D55" s="215"/>
      <c r="E55" s="4"/>
      <c r="F55" s="4"/>
      <c r="H55" s="215"/>
      <c r="I55" s="215"/>
      <c r="J55" s="215"/>
      <c r="K55" s="216"/>
    </row>
    <row r="56" spans="1:11" ht="17.5" customHeight="1" x14ac:dyDescent="0.3">
      <c r="A56" s="121" t="s">
        <v>367</v>
      </c>
      <c r="H56" s="215"/>
      <c r="I56" s="215"/>
      <c r="J56" s="215"/>
      <c r="K56" s="216"/>
    </row>
    <row r="57" spans="1:11" ht="15.65" customHeight="1" x14ac:dyDescent="0.3">
      <c r="A57" s="121" t="s">
        <v>366</v>
      </c>
      <c r="H57" s="215" t="s">
        <v>390</v>
      </c>
      <c r="I57" s="215"/>
      <c r="J57" s="215"/>
      <c r="K57" s="216"/>
    </row>
    <row r="58" spans="1:11" ht="14.5" customHeight="1" x14ac:dyDescent="0.3">
      <c r="A58" s="108"/>
      <c r="H58" s="215"/>
      <c r="I58" s="215"/>
      <c r="J58" s="215"/>
      <c r="K58" s="216"/>
    </row>
    <row r="59" spans="1:11" ht="14.5" customHeight="1" x14ac:dyDescent="0.3">
      <c r="A59" s="108"/>
      <c r="H59" s="215" t="s">
        <v>391</v>
      </c>
      <c r="I59" s="215"/>
      <c r="J59" s="215"/>
      <c r="K59" s="216"/>
    </row>
    <row r="60" spans="1:11" ht="14.5" customHeight="1" x14ac:dyDescent="0.3">
      <c r="A60" s="108"/>
      <c r="H60" s="215"/>
      <c r="I60" s="215"/>
      <c r="J60" s="215"/>
      <c r="K60" s="216"/>
    </row>
    <row r="61" spans="1:11" ht="14.5" customHeight="1" x14ac:dyDescent="0.3">
      <c r="A61" s="108"/>
      <c r="H61" s="215" t="s">
        <v>392</v>
      </c>
      <c r="I61" s="215"/>
      <c r="J61" s="215"/>
      <c r="K61" s="216"/>
    </row>
    <row r="62" spans="1:11" ht="14.5" customHeight="1" x14ac:dyDescent="0.3">
      <c r="A62" s="108"/>
      <c r="H62" s="215"/>
      <c r="I62" s="215"/>
      <c r="J62" s="215"/>
      <c r="K62" s="216"/>
    </row>
    <row r="63" spans="1:11" ht="14.5" customHeight="1" x14ac:dyDescent="0.3">
      <c r="A63" s="110"/>
      <c r="B63" s="13"/>
      <c r="C63" s="13"/>
      <c r="D63" s="13"/>
      <c r="E63" s="13"/>
      <c r="F63" s="13"/>
      <c r="G63" s="13"/>
      <c r="H63" s="217"/>
      <c r="I63" s="217"/>
      <c r="J63" s="217"/>
      <c r="K63" s="218"/>
    </row>
    <row r="64" spans="1:11" ht="14.15" customHeight="1" x14ac:dyDescent="0.3">
      <c r="H64" s="4"/>
      <c r="I64" s="4"/>
      <c r="J64" s="4"/>
      <c r="K64" s="4"/>
    </row>
    <row r="65" ht="14.15" customHeight="1" x14ac:dyDescent="0.3"/>
  </sheetData>
  <mergeCells count="10">
    <mergeCell ref="A55:D55"/>
    <mergeCell ref="H40:K43"/>
    <mergeCell ref="H45:K46"/>
    <mergeCell ref="H47:K48"/>
    <mergeCell ref="A4:F4"/>
    <mergeCell ref="H59:K60"/>
    <mergeCell ref="H52:K53"/>
    <mergeCell ref="H57:K58"/>
    <mergeCell ref="H61:K63"/>
    <mergeCell ref="H54:K56"/>
  </mergeCells>
  <pageMargins left="0.7" right="0.7" top="0.75" bottom="0.75" header="0.3" footer="0.3"/>
  <pageSetup paperSize="9" scale="9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28B8-02FB-41E0-B000-CC3BE17A14A4}">
  <dimension ref="A1:Q38"/>
  <sheetViews>
    <sheetView zoomScaleNormal="100" workbookViewId="0"/>
  </sheetViews>
  <sheetFormatPr defaultRowHeight="14.5" x14ac:dyDescent="0.35"/>
  <cols>
    <col min="1" max="1" width="7" customWidth="1"/>
    <col min="3" max="3" width="4.1796875" customWidth="1"/>
    <col min="5" max="5" width="4.1796875" customWidth="1"/>
    <col min="7" max="7" width="4.453125" customWidth="1"/>
    <col min="13" max="13" width="6.453125" customWidth="1"/>
    <col min="14" max="14" width="8.81640625" customWidth="1"/>
    <col min="15" max="15" width="7.81640625" customWidth="1"/>
    <col min="16" max="16" width="9.1796875" customWidth="1"/>
  </cols>
  <sheetData>
    <row r="1" spans="1:17" ht="10.5" customHeight="1" x14ac:dyDescent="0.35">
      <c r="A1" t="s">
        <v>174</v>
      </c>
      <c r="B1" s="135" t="s">
        <v>126</v>
      </c>
      <c r="C1" s="135" t="s">
        <v>174</v>
      </c>
      <c r="D1" s="135" t="s">
        <v>127</v>
      </c>
      <c r="E1" s="135" t="s">
        <v>174</v>
      </c>
      <c r="F1" s="135" t="s">
        <v>128</v>
      </c>
      <c r="G1" t="s">
        <v>174</v>
      </c>
      <c r="H1" t="s">
        <v>174</v>
      </c>
      <c r="M1" s="132">
        <v>3600</v>
      </c>
      <c r="N1" s="132">
        <v>4000</v>
      </c>
      <c r="O1" s="132">
        <v>4400</v>
      </c>
      <c r="Q1" s="136"/>
    </row>
    <row r="2" spans="1:17" ht="3" customHeight="1" x14ac:dyDescent="0.35">
      <c r="M2" s="133">
        <v>0.75</v>
      </c>
      <c r="N2" s="131"/>
      <c r="O2" s="131"/>
      <c r="P2" s="136"/>
      <c r="Q2" s="137"/>
    </row>
    <row r="3" spans="1:17" x14ac:dyDescent="0.35">
      <c r="A3" s="75" t="s">
        <v>19</v>
      </c>
      <c r="B3" s="71">
        <f>M1*$M$5</f>
        <v>129600</v>
      </c>
      <c r="C3" s="71" t="s">
        <v>41</v>
      </c>
      <c r="D3" s="71">
        <f>N1*$M$5</f>
        <v>144000</v>
      </c>
      <c r="E3" s="71" t="s">
        <v>12</v>
      </c>
      <c r="F3" s="71">
        <f>O1*$M$5</f>
        <v>158400</v>
      </c>
      <c r="G3" s="71" t="s">
        <v>12</v>
      </c>
      <c r="H3" s="73" t="s">
        <v>175</v>
      </c>
      <c r="I3" s="73"/>
      <c r="J3" s="73"/>
      <c r="K3" s="73"/>
      <c r="L3" s="73"/>
      <c r="M3" s="133">
        <v>0.25</v>
      </c>
      <c r="N3" s="131"/>
      <c r="O3" s="131"/>
      <c r="P3" s="136"/>
      <c r="Q3" s="138"/>
    </row>
    <row r="4" spans="1:17" x14ac:dyDescent="0.35">
      <c r="A4" s="75" t="s">
        <v>36</v>
      </c>
      <c r="B4" s="71">
        <f>M1*$M$8*$M$2</f>
        <v>108000</v>
      </c>
      <c r="C4" s="73" t="s">
        <v>41</v>
      </c>
      <c r="D4" s="71">
        <f>N1*$M$8*$M$2</f>
        <v>120000</v>
      </c>
      <c r="E4" s="73" t="s">
        <v>12</v>
      </c>
      <c r="F4" s="71">
        <f>O1*$M$8*$M$2</f>
        <v>132000</v>
      </c>
      <c r="G4" s="73" t="s">
        <v>12</v>
      </c>
      <c r="H4" s="73" t="s">
        <v>176</v>
      </c>
      <c r="I4" s="73"/>
      <c r="J4" s="73"/>
      <c r="K4" s="73"/>
      <c r="L4" s="73"/>
      <c r="M4" s="131"/>
      <c r="N4" s="134"/>
      <c r="O4" s="134"/>
      <c r="P4" s="138"/>
      <c r="Q4" s="138"/>
    </row>
    <row r="5" spans="1:17" x14ac:dyDescent="0.35">
      <c r="A5" t="s">
        <v>174</v>
      </c>
      <c r="B5" s="71">
        <f>M1*$M$3*$M$5</f>
        <v>32400</v>
      </c>
      <c r="C5" s="71" t="s">
        <v>41</v>
      </c>
      <c r="D5" s="71">
        <f>N1*$M$3*$M$5</f>
        <v>36000</v>
      </c>
      <c r="E5" s="71" t="s">
        <v>12</v>
      </c>
      <c r="F5" s="71">
        <f>O1*$M$3*$M$5</f>
        <v>39600</v>
      </c>
      <c r="G5" s="71" t="s">
        <v>12</v>
      </c>
      <c r="H5" s="73" t="s">
        <v>177</v>
      </c>
      <c r="I5" s="73"/>
      <c r="J5" s="73"/>
      <c r="K5" s="73"/>
      <c r="L5" s="73"/>
      <c r="M5" s="131">
        <v>36</v>
      </c>
      <c r="N5" s="134"/>
      <c r="O5" s="134"/>
      <c r="P5" s="138"/>
      <c r="Q5" s="138"/>
    </row>
    <row r="6" spans="1:17" x14ac:dyDescent="0.35">
      <c r="B6" s="71">
        <f>M1*$M$2*$M$9</f>
        <v>10800</v>
      </c>
      <c r="C6" s="71" t="s">
        <v>41</v>
      </c>
      <c r="D6" s="71">
        <f>N1*$M$2*$M$9</f>
        <v>12000</v>
      </c>
      <c r="E6" s="71" t="s">
        <v>12</v>
      </c>
      <c r="F6" s="71">
        <f>O1*$M$2*$M$9</f>
        <v>13200</v>
      </c>
      <c r="G6" s="71" t="s">
        <v>12</v>
      </c>
      <c r="H6" s="73" t="s">
        <v>178</v>
      </c>
      <c r="I6" s="73"/>
      <c r="J6" s="73"/>
      <c r="K6" s="73"/>
      <c r="L6" s="73"/>
      <c r="M6" s="131"/>
      <c r="N6" s="134"/>
      <c r="O6" s="134"/>
      <c r="P6" s="138"/>
      <c r="Q6" s="138"/>
    </row>
    <row r="7" spans="1:17" ht="5.25" customHeight="1" x14ac:dyDescent="0.35">
      <c r="B7" s="71"/>
      <c r="C7" s="71"/>
      <c r="D7" s="71"/>
      <c r="E7" s="71"/>
      <c r="F7" s="71"/>
      <c r="G7" s="71"/>
      <c r="M7" s="131"/>
      <c r="N7" s="134"/>
      <c r="O7" s="134"/>
      <c r="P7" s="138"/>
      <c r="Q7" s="138"/>
    </row>
    <row r="8" spans="1:17" x14ac:dyDescent="0.35">
      <c r="A8" t="s">
        <v>174</v>
      </c>
      <c r="B8" s="71">
        <f>M1*$M$8</f>
        <v>144000</v>
      </c>
      <c r="C8" s="71" t="s">
        <v>12</v>
      </c>
      <c r="D8" s="71">
        <f>N1*$M$8</f>
        <v>160000</v>
      </c>
      <c r="E8" s="71" t="s">
        <v>12</v>
      </c>
      <c r="F8" s="71">
        <f>O1*$M$8</f>
        <v>176000</v>
      </c>
      <c r="G8" s="71" t="s">
        <v>12</v>
      </c>
      <c r="H8" s="73" t="s">
        <v>179</v>
      </c>
      <c r="M8" s="131">
        <v>40</v>
      </c>
      <c r="N8" s="134"/>
      <c r="O8" s="134"/>
      <c r="P8" s="138"/>
      <c r="Q8" s="138"/>
    </row>
    <row r="9" spans="1:17" x14ac:dyDescent="0.35">
      <c r="A9" t="s">
        <v>174</v>
      </c>
      <c r="B9" s="71">
        <f>M1*$M$8*$M$3</f>
        <v>36000</v>
      </c>
      <c r="C9" s="71" t="s">
        <v>12</v>
      </c>
      <c r="D9" s="71">
        <f>N1*$M$8*$M$3</f>
        <v>40000</v>
      </c>
      <c r="E9" s="71" t="s">
        <v>12</v>
      </c>
      <c r="F9" s="71">
        <f>O1*$M$8*$M$3</f>
        <v>44000</v>
      </c>
      <c r="G9" s="71" t="s">
        <v>12</v>
      </c>
      <c r="H9" s="73" t="s">
        <v>180</v>
      </c>
      <c r="M9" s="131">
        <v>4</v>
      </c>
      <c r="N9" s="134"/>
      <c r="O9" s="134"/>
      <c r="P9" s="138"/>
      <c r="Q9" s="138"/>
    </row>
    <row r="10" spans="1:17" x14ac:dyDescent="0.35">
      <c r="B10" s="71">
        <f>M1*$M$3*$M$9</f>
        <v>3600</v>
      </c>
      <c r="C10" s="71" t="s">
        <v>12</v>
      </c>
      <c r="D10" s="71">
        <f>N1*$M$3*$M$9</f>
        <v>4000</v>
      </c>
      <c r="E10" s="71" t="s">
        <v>12</v>
      </c>
      <c r="F10" s="71">
        <f>O1*$M$3*$M$9</f>
        <v>4400</v>
      </c>
      <c r="G10" s="71" t="s">
        <v>12</v>
      </c>
      <c r="H10" s="73" t="s">
        <v>181</v>
      </c>
      <c r="M10" s="136"/>
      <c r="N10" s="138"/>
      <c r="O10" s="138"/>
      <c r="P10" s="138"/>
      <c r="Q10" s="138"/>
    </row>
    <row r="11" spans="1:17" x14ac:dyDescent="0.35">
      <c r="B11" s="71">
        <f>M1*$M$9</f>
        <v>14400</v>
      </c>
      <c r="C11" s="71" t="s">
        <v>12</v>
      </c>
      <c r="D11" s="71">
        <f>N1*$M$9</f>
        <v>16000</v>
      </c>
      <c r="E11" s="71" t="s">
        <v>12</v>
      </c>
      <c r="F11" s="71">
        <f>O1*$M$9</f>
        <v>17600</v>
      </c>
      <c r="G11" s="71" t="s">
        <v>12</v>
      </c>
      <c r="H11" s="73" t="s">
        <v>182</v>
      </c>
      <c r="M11" s="136"/>
      <c r="N11" s="138"/>
      <c r="O11" s="138"/>
      <c r="P11" s="138"/>
      <c r="Q11" s="138"/>
    </row>
    <row r="12" spans="1:17" ht="5.25" customHeight="1" x14ac:dyDescent="0.35">
      <c r="B12" s="71"/>
      <c r="C12" s="71"/>
      <c r="D12" s="71"/>
      <c r="E12" s="71"/>
      <c r="F12" s="71"/>
      <c r="G12" s="71"/>
      <c r="H12" s="73"/>
      <c r="M12" s="136"/>
      <c r="N12" s="138"/>
      <c r="O12" s="138"/>
      <c r="P12" s="138"/>
      <c r="Q12" s="138"/>
    </row>
    <row r="13" spans="1:17" x14ac:dyDescent="0.35">
      <c r="A13" s="75" t="s">
        <v>183</v>
      </c>
      <c r="B13" s="71">
        <f>M1*$M$3*$M$8</f>
        <v>36000</v>
      </c>
      <c r="C13" s="74" t="s">
        <v>184</v>
      </c>
      <c r="D13" s="71">
        <f>N1*$M$3*$M$8</f>
        <v>40000</v>
      </c>
      <c r="E13" s="74" t="s">
        <v>135</v>
      </c>
      <c r="F13" s="71">
        <f>O1*$M$3*$M$8</f>
        <v>44000</v>
      </c>
      <c r="G13" s="71" t="s">
        <v>12</v>
      </c>
      <c r="H13" t="s">
        <v>185</v>
      </c>
      <c r="M13" s="136"/>
      <c r="N13" s="138"/>
      <c r="O13" s="138"/>
      <c r="P13" s="138"/>
      <c r="Q13" s="138"/>
    </row>
    <row r="14" spans="1:17" x14ac:dyDescent="0.35">
      <c r="A14" s="75" t="s">
        <v>36</v>
      </c>
      <c r="B14" s="71">
        <v>0</v>
      </c>
      <c r="C14" s="71" t="s">
        <v>12</v>
      </c>
      <c r="D14" s="71">
        <f>M1*$M$8</f>
        <v>144000</v>
      </c>
      <c r="E14" s="71" t="s">
        <v>41</v>
      </c>
      <c r="F14" s="71">
        <f>N1*$M$8</f>
        <v>160000</v>
      </c>
      <c r="G14" s="71" t="s">
        <v>12</v>
      </c>
      <c r="H14" s="74" t="s">
        <v>186</v>
      </c>
      <c r="M14" s="136"/>
      <c r="N14" s="138"/>
      <c r="O14" s="138"/>
      <c r="P14" s="138"/>
      <c r="Q14" s="138"/>
    </row>
    <row r="15" spans="1:17" x14ac:dyDescent="0.35">
      <c r="A15" t="s">
        <v>174</v>
      </c>
      <c r="B15" s="71">
        <v>0</v>
      </c>
      <c r="C15" s="71" t="s">
        <v>12</v>
      </c>
      <c r="D15" s="71">
        <f>M1*$M$8*$M$2</f>
        <v>108000</v>
      </c>
      <c r="E15" s="71" t="s">
        <v>41</v>
      </c>
      <c r="F15" s="71">
        <f>N1*$M$8*$M$2</f>
        <v>120000</v>
      </c>
      <c r="G15" s="71" t="s">
        <v>12</v>
      </c>
      <c r="H15" s="73" t="s">
        <v>187</v>
      </c>
      <c r="N15" s="72"/>
      <c r="O15" s="72"/>
      <c r="P15" s="72"/>
      <c r="Q15" s="72"/>
    </row>
    <row r="16" spans="1:17" x14ac:dyDescent="0.35">
      <c r="A16" t="s">
        <v>174</v>
      </c>
      <c r="B16" s="71">
        <v>0</v>
      </c>
      <c r="C16" s="71" t="s">
        <v>12</v>
      </c>
      <c r="D16" s="71">
        <f>M1*$M$3*$M$5</f>
        <v>32400</v>
      </c>
      <c r="E16" s="71" t="s">
        <v>41</v>
      </c>
      <c r="F16" s="71">
        <f>N1*$M$3*$M$5</f>
        <v>36000</v>
      </c>
      <c r="G16" s="71" t="s">
        <v>12</v>
      </c>
      <c r="H16" t="s">
        <v>188</v>
      </c>
      <c r="N16" s="72"/>
      <c r="O16" s="72"/>
      <c r="P16" s="72"/>
      <c r="Q16" s="72"/>
    </row>
    <row r="17" spans="1:17" x14ac:dyDescent="0.35">
      <c r="A17" t="s">
        <v>174</v>
      </c>
      <c r="B17">
        <v>0</v>
      </c>
      <c r="C17" s="71" t="s">
        <v>12</v>
      </c>
      <c r="D17" s="71">
        <f>M1*$M$3*$M$9</f>
        <v>3600</v>
      </c>
      <c r="E17" s="71" t="s">
        <v>41</v>
      </c>
      <c r="F17" s="71">
        <f>N1*$M$3*$M$9</f>
        <v>4000</v>
      </c>
      <c r="G17" s="71" t="s">
        <v>12</v>
      </c>
      <c r="H17" t="s">
        <v>189</v>
      </c>
      <c r="N17" s="72"/>
      <c r="O17" s="72"/>
      <c r="P17" s="72"/>
      <c r="Q17" s="72"/>
    </row>
    <row r="18" spans="1:17" ht="5.25" customHeight="1" x14ac:dyDescent="0.35">
      <c r="A18" t="s">
        <v>174</v>
      </c>
      <c r="B18" s="71"/>
      <c r="D18" s="71"/>
      <c r="F18" s="71"/>
      <c r="N18" s="72"/>
      <c r="O18" s="72"/>
      <c r="P18" s="72"/>
      <c r="Q18" s="72"/>
    </row>
    <row r="19" spans="1:17" x14ac:dyDescent="0.35">
      <c r="B19" s="71">
        <f>M1*$M$8</f>
        <v>144000</v>
      </c>
      <c r="C19" s="74" t="s">
        <v>184</v>
      </c>
      <c r="D19" s="71">
        <f>N1*$M$8</f>
        <v>160000</v>
      </c>
      <c r="E19" s="71" t="s">
        <v>41</v>
      </c>
      <c r="F19" s="71">
        <f>O1*$M$8</f>
        <v>176000</v>
      </c>
      <c r="G19" s="71" t="s">
        <v>12</v>
      </c>
      <c r="H19" t="s">
        <v>190</v>
      </c>
      <c r="N19" s="72"/>
      <c r="O19" s="72"/>
      <c r="P19" s="72"/>
      <c r="Q19" s="72"/>
    </row>
    <row r="20" spans="1:17" x14ac:dyDescent="0.35">
      <c r="B20" s="71">
        <f>M1*$M$8*$M$2</f>
        <v>108000</v>
      </c>
      <c r="C20" s="74" t="s">
        <v>184</v>
      </c>
      <c r="D20" s="71">
        <f>N1*$M$8*$M$2</f>
        <v>120000</v>
      </c>
      <c r="E20" s="71" t="s">
        <v>41</v>
      </c>
      <c r="F20" s="71">
        <f>O1*$M$8*$M$2</f>
        <v>132000</v>
      </c>
      <c r="G20" s="71" t="s">
        <v>12</v>
      </c>
      <c r="H20" t="s">
        <v>191</v>
      </c>
      <c r="N20" s="72"/>
      <c r="O20" s="72"/>
      <c r="P20" s="72"/>
      <c r="Q20" s="72"/>
    </row>
    <row r="21" spans="1:17" x14ac:dyDescent="0.35">
      <c r="A21" t="s">
        <v>174</v>
      </c>
      <c r="B21" s="71">
        <f>M1*$M$5*$M$3</f>
        <v>32400</v>
      </c>
      <c r="C21" s="74" t="s">
        <v>184</v>
      </c>
      <c r="D21" s="71">
        <f>N1*$M$5*$M$3</f>
        <v>36000</v>
      </c>
      <c r="E21" s="71" t="s">
        <v>41</v>
      </c>
      <c r="F21" s="71">
        <f>O1*$M$5*$M$3</f>
        <v>39600</v>
      </c>
      <c r="G21" s="71" t="s">
        <v>12</v>
      </c>
      <c r="H21" t="s">
        <v>192</v>
      </c>
      <c r="N21" s="72"/>
      <c r="O21" s="72"/>
      <c r="P21" s="72"/>
      <c r="Q21" s="72"/>
    </row>
    <row r="22" spans="1:17" x14ac:dyDescent="0.35">
      <c r="A22" t="s">
        <v>174</v>
      </c>
      <c r="B22" s="71">
        <f>M1*$M$9</f>
        <v>14400</v>
      </c>
      <c r="C22" s="74" t="s">
        <v>184</v>
      </c>
      <c r="D22" s="71">
        <f>N1*$M$9</f>
        <v>16000</v>
      </c>
      <c r="E22" s="71" t="s">
        <v>41</v>
      </c>
      <c r="F22" s="71">
        <f>O1*$M$9</f>
        <v>17600</v>
      </c>
      <c r="G22" s="71" t="s">
        <v>12</v>
      </c>
      <c r="H22" t="s">
        <v>193</v>
      </c>
    </row>
    <row r="23" spans="1:17" x14ac:dyDescent="0.35">
      <c r="B23" s="71">
        <v>0</v>
      </c>
      <c r="C23" s="71" t="s">
        <v>12</v>
      </c>
      <c r="D23" s="71">
        <f>M1*$M$5</f>
        <v>129600</v>
      </c>
      <c r="E23" s="71" t="s">
        <v>12</v>
      </c>
      <c r="F23" s="71">
        <f>N1*$M$5</f>
        <v>144000</v>
      </c>
      <c r="G23" s="71" t="s">
        <v>12</v>
      </c>
      <c r="H23" s="74" t="s">
        <v>194</v>
      </c>
    </row>
    <row r="24" spans="1:17" x14ac:dyDescent="0.35">
      <c r="B24" s="71">
        <v>0</v>
      </c>
      <c r="C24" s="71" t="s">
        <v>12</v>
      </c>
      <c r="D24" s="71">
        <f>M1*$M$2*$M$5</f>
        <v>97200</v>
      </c>
      <c r="E24" s="71" t="s">
        <v>12</v>
      </c>
      <c r="F24" s="71">
        <f>N1*$M$2*$M$5</f>
        <v>108000</v>
      </c>
      <c r="G24" s="71" t="s">
        <v>12</v>
      </c>
      <c r="H24" s="73" t="s">
        <v>195</v>
      </c>
    </row>
    <row r="25" spans="1:17" x14ac:dyDescent="0.35">
      <c r="B25">
        <v>0</v>
      </c>
      <c r="C25" s="71" t="s">
        <v>12</v>
      </c>
      <c r="D25" s="71">
        <f>M1*$M$9</f>
        <v>14400</v>
      </c>
      <c r="E25" s="71" t="s">
        <v>12</v>
      </c>
      <c r="F25" s="71">
        <f>N1*$M$9</f>
        <v>16000</v>
      </c>
      <c r="G25" s="71" t="s">
        <v>12</v>
      </c>
      <c r="H25" s="74" t="s">
        <v>196</v>
      </c>
    </row>
    <row r="26" spans="1:17" x14ac:dyDescent="0.35">
      <c r="A26" t="s">
        <v>174</v>
      </c>
      <c r="B26" s="71">
        <v>0</v>
      </c>
      <c r="C26" s="71" t="s">
        <v>12</v>
      </c>
      <c r="D26" s="71">
        <f>M1*$M$2*$M$9</f>
        <v>10800</v>
      </c>
      <c r="E26" s="71" t="s">
        <v>12</v>
      </c>
      <c r="F26" s="71">
        <f>N1*$M$2*$M$9</f>
        <v>12000</v>
      </c>
      <c r="G26" s="71" t="s">
        <v>12</v>
      </c>
      <c r="H26" s="73" t="s">
        <v>197</v>
      </c>
    </row>
    <row r="27" spans="1:17" ht="5.25" customHeight="1" x14ac:dyDescent="0.35">
      <c r="A27" t="s">
        <v>174</v>
      </c>
    </row>
    <row r="28" spans="1:17" x14ac:dyDescent="0.35">
      <c r="A28" t="s">
        <v>174</v>
      </c>
      <c r="B28" s="71">
        <f>M1*$M$5</f>
        <v>129600</v>
      </c>
      <c r="C28" s="74" t="s">
        <v>184</v>
      </c>
      <c r="D28" s="71">
        <f>N1*$M$5</f>
        <v>144000</v>
      </c>
      <c r="E28" s="71" t="s">
        <v>12</v>
      </c>
      <c r="F28" s="71">
        <f>O1*$M$5</f>
        <v>158400</v>
      </c>
      <c r="G28" s="71" t="s">
        <v>12</v>
      </c>
      <c r="H28" t="s">
        <v>198</v>
      </c>
    </row>
    <row r="29" spans="1:17" x14ac:dyDescent="0.35">
      <c r="A29" t="s">
        <v>174</v>
      </c>
      <c r="B29" s="71">
        <f>M1*$M$5*$M$2</f>
        <v>97200</v>
      </c>
      <c r="C29" s="74" t="s">
        <v>184</v>
      </c>
      <c r="D29" s="71">
        <f>N1*$M$5*$M$2</f>
        <v>108000</v>
      </c>
      <c r="E29" s="71" t="s">
        <v>12</v>
      </c>
      <c r="F29" s="71">
        <f>O1*$M$5*$M$2</f>
        <v>118800</v>
      </c>
      <c r="G29" s="71" t="s">
        <v>12</v>
      </c>
      <c r="H29" t="s">
        <v>199</v>
      </c>
    </row>
    <row r="30" spans="1:17" x14ac:dyDescent="0.35">
      <c r="A30" t="s">
        <v>174</v>
      </c>
      <c r="B30" s="71">
        <f>M1*$M$9</f>
        <v>14400</v>
      </c>
      <c r="C30" s="74" t="s">
        <v>184</v>
      </c>
      <c r="D30" s="71">
        <f>N1*$M$9</f>
        <v>16000</v>
      </c>
      <c r="E30" s="71" t="s">
        <v>12</v>
      </c>
      <c r="F30" s="71">
        <f>O1*$M$9</f>
        <v>17600</v>
      </c>
      <c r="G30" s="71" t="s">
        <v>12</v>
      </c>
      <c r="H30" t="s">
        <v>200</v>
      </c>
    </row>
    <row r="31" spans="1:17" x14ac:dyDescent="0.35">
      <c r="A31" t="s">
        <v>174</v>
      </c>
      <c r="B31" s="71">
        <f>M1*$M$9*$M$2</f>
        <v>10800</v>
      </c>
      <c r="C31" s="74" t="s">
        <v>184</v>
      </c>
      <c r="D31" s="71">
        <f>N1*$M$9*$M$2</f>
        <v>12000</v>
      </c>
      <c r="E31" s="71" t="s">
        <v>12</v>
      </c>
      <c r="F31" s="71">
        <f>O1*$M$9*$M$2</f>
        <v>13200</v>
      </c>
      <c r="G31" s="71" t="s">
        <v>12</v>
      </c>
      <c r="H31" t="s">
        <v>201</v>
      </c>
    </row>
    <row r="32" spans="1:17" ht="5.25" customHeight="1" x14ac:dyDescent="0.35">
      <c r="A32" t="s">
        <v>174</v>
      </c>
      <c r="B32" t="s">
        <v>174</v>
      </c>
      <c r="C32" t="s">
        <v>174</v>
      </c>
      <c r="D32" t="s">
        <v>174</v>
      </c>
      <c r="E32" t="s">
        <v>174</v>
      </c>
      <c r="F32" t="s">
        <v>174</v>
      </c>
      <c r="G32" t="s">
        <v>174</v>
      </c>
      <c r="H32" t="s">
        <v>174</v>
      </c>
    </row>
    <row r="33" spans="1:7" x14ac:dyDescent="0.35">
      <c r="A33" t="s">
        <v>202</v>
      </c>
      <c r="B33" s="71">
        <v>64000</v>
      </c>
      <c r="C33" s="74" t="s">
        <v>184</v>
      </c>
      <c r="D33" s="71">
        <v>72000</v>
      </c>
      <c r="E33" s="71" t="s">
        <v>12</v>
      </c>
      <c r="F33" s="71">
        <v>80000</v>
      </c>
      <c r="G33" s="71" t="s">
        <v>12</v>
      </c>
    </row>
    <row r="34" spans="1:7" x14ac:dyDescent="0.35">
      <c r="A34" t="s">
        <v>174</v>
      </c>
      <c r="B34" s="71">
        <v>72000</v>
      </c>
      <c r="C34" s="74" t="s">
        <v>184</v>
      </c>
      <c r="D34" s="71">
        <v>80000</v>
      </c>
      <c r="E34" s="71" t="s">
        <v>12</v>
      </c>
      <c r="F34">
        <v>0</v>
      </c>
      <c r="G34" s="71" t="s">
        <v>12</v>
      </c>
    </row>
    <row r="35" spans="1:7" x14ac:dyDescent="0.35">
      <c r="A35" t="s">
        <v>203</v>
      </c>
      <c r="B35" s="71">
        <v>8000</v>
      </c>
      <c r="C35" s="74" t="s">
        <v>184</v>
      </c>
      <c r="D35" s="71">
        <v>9000</v>
      </c>
      <c r="E35" s="71" t="s">
        <v>12</v>
      </c>
      <c r="F35" s="71">
        <v>10000</v>
      </c>
      <c r="G35" s="71" t="s">
        <v>12</v>
      </c>
    </row>
    <row r="36" spans="1:7" x14ac:dyDescent="0.35">
      <c r="B36" s="71">
        <v>9000</v>
      </c>
      <c r="C36" s="74" t="s">
        <v>184</v>
      </c>
      <c r="D36" s="71">
        <v>10000</v>
      </c>
      <c r="E36" s="71" t="s">
        <v>12</v>
      </c>
      <c r="F36">
        <v>0</v>
      </c>
      <c r="G36" s="71" t="s">
        <v>12</v>
      </c>
    </row>
    <row r="37" spans="1:7" ht="6.75" customHeight="1" x14ac:dyDescent="0.35">
      <c r="B37" s="71"/>
      <c r="D37" s="71"/>
      <c r="F37" s="71"/>
    </row>
    <row r="38" spans="1:7" ht="14.25" customHeight="1" x14ac:dyDescent="0.35">
      <c r="A38" s="75" t="s">
        <v>204</v>
      </c>
      <c r="B38" s="71"/>
      <c r="D38" s="71"/>
      <c r="F38" s="71"/>
    </row>
  </sheetData>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38F36-D478-4684-B3B4-A57F15B20E36}">
  <sheetPr>
    <pageSetUpPr fitToPage="1"/>
  </sheetPr>
  <dimension ref="A1:P42"/>
  <sheetViews>
    <sheetView topLeftCell="A16" zoomScaleNormal="100" workbookViewId="0"/>
  </sheetViews>
  <sheetFormatPr defaultColWidth="9.1796875" defaultRowHeight="14" x14ac:dyDescent="0.3"/>
  <cols>
    <col min="1" max="1" width="9.1796875" style="2"/>
    <col min="2" max="2" width="27.453125" style="2" customWidth="1"/>
    <col min="3" max="3" width="11.26953125" style="2" customWidth="1"/>
    <col min="4" max="4" width="9.1796875" style="2"/>
    <col min="5" max="5" width="16" style="2" customWidth="1"/>
    <col min="6" max="8" width="9.1796875" style="2"/>
    <col min="9" max="9" width="24.54296875" style="2" customWidth="1"/>
    <col min="10" max="12" width="9.1796875" style="2"/>
    <col min="13" max="13" width="6.81640625" style="2" customWidth="1"/>
    <col min="14" max="16384" width="9.1796875" style="2"/>
  </cols>
  <sheetData>
    <row r="1" spans="1:16" x14ac:dyDescent="0.3">
      <c r="A1" s="7" t="s">
        <v>205</v>
      </c>
    </row>
    <row r="2" spans="1:16" x14ac:dyDescent="0.3">
      <c r="A2" s="1" t="s">
        <v>77</v>
      </c>
      <c r="E2" s="22" t="s">
        <v>206</v>
      </c>
    </row>
    <row r="3" spans="1:16" x14ac:dyDescent="0.3">
      <c r="A3" s="1" t="s">
        <v>207</v>
      </c>
      <c r="F3" s="118" t="s">
        <v>208</v>
      </c>
      <c r="G3" s="102"/>
      <c r="H3" s="102"/>
      <c r="I3" s="102"/>
      <c r="J3" s="102"/>
      <c r="K3" s="102"/>
      <c r="L3" s="102"/>
      <c r="M3" s="105"/>
    </row>
    <row r="4" spans="1:16" x14ac:dyDescent="0.3">
      <c r="E4" s="22"/>
      <c r="F4" s="108" t="s">
        <v>410</v>
      </c>
      <c r="M4" s="107"/>
    </row>
    <row r="5" spans="1:16" s="1" customFormat="1" ht="14.5" customHeight="1" x14ac:dyDescent="0.3">
      <c r="A5" s="40" t="s">
        <v>209</v>
      </c>
      <c r="B5" s="40" t="s">
        <v>210</v>
      </c>
      <c r="C5" s="40" t="s">
        <v>211</v>
      </c>
      <c r="D5" s="40" t="s">
        <v>212</v>
      </c>
      <c r="E5" s="22"/>
      <c r="F5" s="120"/>
      <c r="G5" s="95"/>
      <c r="H5" s="95"/>
      <c r="I5" s="95"/>
      <c r="M5" s="139"/>
    </row>
    <row r="6" spans="1:16" x14ac:dyDescent="0.3">
      <c r="A6" s="33"/>
      <c r="B6" s="33"/>
      <c r="C6" s="33" t="s">
        <v>7</v>
      </c>
      <c r="D6" s="33" t="s">
        <v>7</v>
      </c>
      <c r="F6" s="143" t="s">
        <v>213</v>
      </c>
      <c r="G6" s="119"/>
      <c r="H6" s="119"/>
      <c r="I6" s="119"/>
      <c r="J6" s="102"/>
      <c r="K6" s="119"/>
      <c r="L6" s="119"/>
      <c r="M6" s="144"/>
      <c r="N6" s="95"/>
    </row>
    <row r="7" spans="1:16" x14ac:dyDescent="0.3">
      <c r="A7" s="33">
        <v>1</v>
      </c>
      <c r="B7" s="33" t="s">
        <v>214</v>
      </c>
      <c r="C7" s="47">
        <v>10</v>
      </c>
      <c r="D7" s="47">
        <f>A7*C7</f>
        <v>10</v>
      </c>
      <c r="E7" s="21" t="s">
        <v>215</v>
      </c>
      <c r="F7" s="120"/>
      <c r="G7" s="95"/>
      <c r="H7" s="95"/>
      <c r="I7" s="95"/>
      <c r="K7" s="95"/>
      <c r="L7" s="95"/>
      <c r="M7" s="141"/>
      <c r="N7" s="95"/>
    </row>
    <row r="8" spans="1:16" ht="14.5" customHeight="1" thickBot="1" x14ac:dyDescent="0.35">
      <c r="A8" s="33">
        <v>4</v>
      </c>
      <c r="B8" s="33" t="s">
        <v>216</v>
      </c>
      <c r="C8" s="47">
        <v>5</v>
      </c>
      <c r="D8" s="60">
        <f>A8*C8</f>
        <v>20</v>
      </c>
      <c r="E8" s="21" t="s">
        <v>215</v>
      </c>
      <c r="F8" s="118" t="s">
        <v>217</v>
      </c>
      <c r="G8" s="102"/>
      <c r="H8" s="102"/>
      <c r="I8" s="102"/>
      <c r="J8" s="102"/>
      <c r="K8" s="119"/>
      <c r="L8" s="119"/>
      <c r="M8" s="144"/>
      <c r="N8" s="95"/>
      <c r="O8" s="95"/>
      <c r="P8" s="95"/>
    </row>
    <row r="9" spans="1:16" ht="14.5" thickTop="1" x14ac:dyDescent="0.3">
      <c r="A9" s="33"/>
      <c r="B9" s="33"/>
      <c r="C9" s="47"/>
      <c r="D9" s="59">
        <f>SUM(D7:D8)</f>
        <v>30</v>
      </c>
      <c r="E9" s="21" t="s">
        <v>12</v>
      </c>
      <c r="F9" s="108"/>
      <c r="M9" s="141"/>
      <c r="N9" s="95"/>
      <c r="O9" s="95"/>
      <c r="P9" s="95"/>
    </row>
    <row r="10" spans="1:16" ht="14.5" customHeight="1" thickBot="1" x14ac:dyDescent="0.35">
      <c r="A10" s="48">
        <v>0.3</v>
      </c>
      <c r="B10" s="33" t="s">
        <v>218</v>
      </c>
      <c r="C10" s="47"/>
      <c r="D10" s="60">
        <f>D9*A10</f>
        <v>9</v>
      </c>
      <c r="E10" s="21" t="s">
        <v>12</v>
      </c>
      <c r="F10" s="118" t="s">
        <v>368</v>
      </c>
      <c r="G10" s="102"/>
      <c r="H10" s="102"/>
      <c r="I10" s="102"/>
      <c r="J10" s="102"/>
      <c r="K10" s="102"/>
      <c r="L10" s="102"/>
      <c r="M10" s="105"/>
    </row>
    <row r="11" spans="1:16" ht="14.5" thickTop="1" x14ac:dyDescent="0.3">
      <c r="A11" s="48"/>
      <c r="B11" s="33"/>
      <c r="C11" s="47"/>
      <c r="D11" s="59">
        <f>D9-D10</f>
        <v>21</v>
      </c>
      <c r="E11" s="21" t="s">
        <v>12</v>
      </c>
      <c r="F11" s="108"/>
      <c r="M11" s="107"/>
    </row>
    <row r="12" spans="1:16" ht="14.5" thickBot="1" x14ac:dyDescent="0.35">
      <c r="A12" s="48">
        <v>0.05</v>
      </c>
      <c r="B12" s="33" t="s">
        <v>219</v>
      </c>
      <c r="C12" s="47"/>
      <c r="D12" s="56">
        <f>D11*A12</f>
        <v>1.05</v>
      </c>
      <c r="E12" s="21" t="s">
        <v>12</v>
      </c>
      <c r="F12" s="118" t="s">
        <v>220</v>
      </c>
      <c r="G12" s="102"/>
      <c r="H12" s="102"/>
      <c r="I12" s="102"/>
      <c r="J12" s="102"/>
      <c r="K12" s="102"/>
      <c r="L12" s="102"/>
      <c r="M12" s="105"/>
    </row>
    <row r="13" spans="1:16" ht="14.5" customHeight="1" thickTop="1" x14ac:dyDescent="0.3">
      <c r="A13" s="48"/>
      <c r="B13" s="33"/>
      <c r="C13" s="47"/>
      <c r="D13" s="57">
        <f>D11-D12</f>
        <v>19.95</v>
      </c>
      <c r="E13" s="21" t="s">
        <v>12</v>
      </c>
      <c r="F13" s="108"/>
      <c r="L13" s="30"/>
      <c r="M13" s="142"/>
      <c r="N13" s="30"/>
      <c r="O13" s="30"/>
    </row>
    <row r="14" spans="1:16" ht="14.15" customHeight="1" thickBot="1" x14ac:dyDescent="0.35">
      <c r="A14" s="48">
        <v>0.2</v>
      </c>
      <c r="B14" s="33" t="s">
        <v>24</v>
      </c>
      <c r="C14" s="47"/>
      <c r="D14" s="60">
        <f>D13*A14</f>
        <v>3.99</v>
      </c>
      <c r="E14" s="21" t="s">
        <v>12</v>
      </c>
      <c r="F14" s="118" t="s">
        <v>221</v>
      </c>
      <c r="G14" s="102"/>
      <c r="H14" s="102"/>
      <c r="I14" s="102"/>
      <c r="J14" s="102"/>
      <c r="K14" s="102"/>
      <c r="L14" s="145"/>
      <c r="M14" s="146"/>
      <c r="N14" s="30"/>
      <c r="O14" s="30"/>
    </row>
    <row r="15" spans="1:16" ht="14.5" thickTop="1" x14ac:dyDescent="0.3">
      <c r="A15" s="33"/>
      <c r="B15" s="33"/>
      <c r="C15" s="47"/>
      <c r="D15" s="59">
        <f>D13+D14</f>
        <v>23.939999999999998</v>
      </c>
      <c r="E15" s="21"/>
      <c r="F15" s="108"/>
      <c r="K15" s="95"/>
      <c r="L15" s="95"/>
      <c r="M15" s="141"/>
      <c r="N15" s="95"/>
      <c r="O15" s="30"/>
    </row>
    <row r="16" spans="1:16" ht="14.5" customHeight="1" thickBot="1" x14ac:dyDescent="0.35">
      <c r="A16" s="33"/>
      <c r="B16" s="33" t="s">
        <v>222</v>
      </c>
      <c r="C16" s="47"/>
      <c r="D16" s="56">
        <v>3</v>
      </c>
      <c r="E16" s="21" t="s">
        <v>12</v>
      </c>
      <c r="F16" s="118" t="s">
        <v>411</v>
      </c>
      <c r="G16" s="102"/>
      <c r="H16" s="102"/>
      <c r="I16" s="102"/>
      <c r="J16" s="102"/>
      <c r="K16" s="102"/>
      <c r="L16" s="119"/>
      <c r="M16" s="144"/>
      <c r="N16" s="95"/>
      <c r="O16" s="95"/>
    </row>
    <row r="17" spans="1:15" ht="14.15" customHeight="1" thickTop="1" thickBot="1" x14ac:dyDescent="0.35">
      <c r="A17" s="33"/>
      <c r="B17" s="33" t="s">
        <v>223</v>
      </c>
      <c r="C17" s="47"/>
      <c r="D17" s="58">
        <f>D15+D16</f>
        <v>26.939999999999998</v>
      </c>
      <c r="E17" s="21" t="s">
        <v>224</v>
      </c>
      <c r="F17" s="108"/>
      <c r="L17" s="95"/>
      <c r="M17" s="141"/>
      <c r="N17" s="95"/>
      <c r="O17" s="95"/>
    </row>
    <row r="18" spans="1:15" ht="14.5" thickTop="1" x14ac:dyDescent="0.3">
      <c r="F18" s="118" t="s">
        <v>412</v>
      </c>
      <c r="G18" s="102"/>
      <c r="H18" s="102"/>
      <c r="I18" s="102"/>
      <c r="J18" s="102"/>
      <c r="K18" s="102"/>
      <c r="L18" s="119"/>
      <c r="M18" s="144"/>
      <c r="N18" s="95"/>
      <c r="O18" s="95"/>
    </row>
    <row r="19" spans="1:15" ht="14.5" x14ac:dyDescent="0.35">
      <c r="A19"/>
      <c r="B19"/>
      <c r="F19" s="108"/>
      <c r="M19" s="107"/>
    </row>
    <row r="20" spans="1:15" x14ac:dyDescent="0.3">
      <c r="F20" s="118" t="s">
        <v>225</v>
      </c>
      <c r="G20" s="102"/>
      <c r="H20" s="102"/>
      <c r="I20" s="102"/>
      <c r="J20" s="102"/>
      <c r="K20" s="102"/>
      <c r="L20" s="102"/>
      <c r="M20" s="105"/>
    </row>
    <row r="21" spans="1:15" x14ac:dyDescent="0.3">
      <c r="F21" s="108" t="s">
        <v>413</v>
      </c>
      <c r="M21" s="107"/>
    </row>
    <row r="22" spans="1:15" x14ac:dyDescent="0.3">
      <c r="F22" s="108"/>
      <c r="M22" s="107"/>
    </row>
    <row r="23" spans="1:15" x14ac:dyDescent="0.3">
      <c r="F23" s="118" t="s">
        <v>226</v>
      </c>
      <c r="G23" s="102"/>
      <c r="H23" s="102"/>
      <c r="I23" s="102"/>
      <c r="J23" s="102"/>
      <c r="K23" s="102"/>
      <c r="L23" s="102"/>
      <c r="M23" s="105"/>
    </row>
    <row r="24" spans="1:15" x14ac:dyDescent="0.3">
      <c r="A24" s="1" t="s">
        <v>43</v>
      </c>
      <c r="E24" s="24" t="s">
        <v>45</v>
      </c>
      <c r="F24" s="108" t="s">
        <v>395</v>
      </c>
      <c r="M24" s="107"/>
    </row>
    <row r="25" spans="1:15" x14ac:dyDescent="0.3">
      <c r="A25" s="2" t="s">
        <v>227</v>
      </c>
      <c r="F25" s="108"/>
      <c r="M25" s="107"/>
    </row>
    <row r="26" spans="1:15" x14ac:dyDescent="0.3">
      <c r="A26" s="2" t="s">
        <v>228</v>
      </c>
      <c r="F26" s="118" t="s">
        <v>414</v>
      </c>
      <c r="G26" s="102"/>
      <c r="H26" s="102"/>
      <c r="I26" s="102"/>
      <c r="J26" s="102"/>
      <c r="K26" s="102"/>
      <c r="L26" s="102"/>
      <c r="M26" s="105"/>
    </row>
    <row r="27" spans="1:15" x14ac:dyDescent="0.3">
      <c r="F27" s="108"/>
      <c r="M27" s="107"/>
    </row>
    <row r="28" spans="1:15" x14ac:dyDescent="0.3">
      <c r="A28" s="1" t="s">
        <v>101</v>
      </c>
      <c r="E28" s="24" t="s">
        <v>45</v>
      </c>
      <c r="F28" s="118" t="s">
        <v>229</v>
      </c>
      <c r="G28" s="102"/>
      <c r="H28" s="102"/>
      <c r="I28" s="102"/>
      <c r="J28" s="102"/>
      <c r="K28" s="102"/>
      <c r="L28" s="102"/>
      <c r="M28" s="105"/>
    </row>
    <row r="29" spans="1:15" x14ac:dyDescent="0.3">
      <c r="A29" s="2" t="s">
        <v>230</v>
      </c>
      <c r="F29" s="108" t="s">
        <v>231</v>
      </c>
      <c r="M29" s="107"/>
    </row>
    <row r="30" spans="1:15" ht="14.25" customHeight="1" x14ac:dyDescent="0.3">
      <c r="F30" s="108"/>
      <c r="M30" s="107"/>
    </row>
    <row r="31" spans="1:15" ht="14.15" customHeight="1" x14ac:dyDescent="0.3">
      <c r="A31" s="1" t="s">
        <v>111</v>
      </c>
      <c r="E31" s="24" t="s">
        <v>92</v>
      </c>
      <c r="F31" s="118" t="s">
        <v>232</v>
      </c>
      <c r="G31" s="102"/>
      <c r="H31" s="102"/>
      <c r="I31" s="102"/>
      <c r="J31" s="102"/>
      <c r="K31" s="102"/>
      <c r="L31" s="102"/>
      <c r="M31" s="105"/>
    </row>
    <row r="32" spans="1:15" x14ac:dyDescent="0.3">
      <c r="A32" s="8" t="s">
        <v>233</v>
      </c>
      <c r="B32" s="96"/>
      <c r="C32" s="96"/>
      <c r="D32" s="96"/>
      <c r="E32" s="96"/>
      <c r="F32" s="108" t="s">
        <v>234</v>
      </c>
      <c r="M32" s="107"/>
    </row>
    <row r="33" spans="1:13" x14ac:dyDescent="0.3">
      <c r="A33" s="8" t="s">
        <v>235</v>
      </c>
      <c r="B33" s="96"/>
      <c r="C33" s="96"/>
      <c r="D33" s="96"/>
      <c r="E33" s="96"/>
      <c r="F33" s="110"/>
      <c r="G33" s="13"/>
      <c r="H33" s="13"/>
      <c r="I33" s="13"/>
      <c r="J33" s="13"/>
      <c r="K33" s="13"/>
      <c r="L33" s="13"/>
      <c r="M33" s="111"/>
    </row>
    <row r="34" spans="1:13" x14ac:dyDescent="0.3">
      <c r="A34" s="2" t="s">
        <v>236</v>
      </c>
      <c r="F34" s="118" t="s">
        <v>237</v>
      </c>
      <c r="G34" s="102"/>
      <c r="H34" s="102"/>
      <c r="I34" s="102"/>
      <c r="J34" s="102"/>
      <c r="K34" s="102"/>
      <c r="L34" s="102"/>
      <c r="M34" s="105"/>
    </row>
    <row r="35" spans="1:13" ht="14.25" customHeight="1" x14ac:dyDescent="0.3">
      <c r="A35" s="2" t="s">
        <v>238</v>
      </c>
      <c r="F35" s="108" t="s">
        <v>239</v>
      </c>
      <c r="G35" s="2" t="s">
        <v>240</v>
      </c>
      <c r="M35" s="107"/>
    </row>
    <row r="36" spans="1:13" x14ac:dyDescent="0.3">
      <c r="A36" s="97" t="s">
        <v>241</v>
      </c>
      <c r="B36" s="95"/>
      <c r="C36" s="95"/>
      <c r="D36" s="95"/>
      <c r="F36" s="108"/>
      <c r="G36" s="2" t="s">
        <v>24</v>
      </c>
      <c r="M36" s="107"/>
    </row>
    <row r="37" spans="1:13" x14ac:dyDescent="0.3">
      <c r="A37" s="97" t="s">
        <v>242</v>
      </c>
      <c r="B37" s="95"/>
      <c r="C37" s="95"/>
      <c r="D37" s="95"/>
      <c r="F37" s="108"/>
      <c r="G37" s="2" t="s">
        <v>218</v>
      </c>
      <c r="M37" s="107"/>
    </row>
    <row r="38" spans="1:13" x14ac:dyDescent="0.3">
      <c r="A38" s="95"/>
      <c r="B38" s="95"/>
      <c r="C38" s="95"/>
      <c r="D38" s="95"/>
      <c r="F38" s="108"/>
      <c r="G38" s="2" t="s">
        <v>243</v>
      </c>
      <c r="M38" s="107"/>
    </row>
    <row r="39" spans="1:13" x14ac:dyDescent="0.3">
      <c r="F39" s="108"/>
      <c r="G39" s="2" t="s">
        <v>219</v>
      </c>
      <c r="M39" s="107"/>
    </row>
    <row r="40" spans="1:13" ht="14.5" x14ac:dyDescent="0.35">
      <c r="A40" s="1" t="s">
        <v>118</v>
      </c>
      <c r="E40" s="24" t="s">
        <v>45</v>
      </c>
      <c r="F40" s="108" t="s">
        <v>244</v>
      </c>
      <c r="H40"/>
      <c r="I40"/>
      <c r="J40"/>
      <c r="M40" s="107"/>
    </row>
    <row r="41" spans="1:13" ht="14.5" x14ac:dyDescent="0.35">
      <c r="A41" s="2" t="s">
        <v>245</v>
      </c>
      <c r="F41" s="108"/>
      <c r="G41" s="2" t="s">
        <v>246</v>
      </c>
      <c r="H41"/>
      <c r="I41"/>
      <c r="J41"/>
      <c r="M41" s="107"/>
    </row>
    <row r="42" spans="1:13" x14ac:dyDescent="0.3">
      <c r="A42" s="2" t="s">
        <v>247</v>
      </c>
      <c r="F42" s="110"/>
      <c r="G42" s="13" t="s">
        <v>415</v>
      </c>
      <c r="H42" s="13"/>
      <c r="I42" s="13"/>
      <c r="J42" s="13"/>
      <c r="K42" s="13"/>
      <c r="L42" s="13"/>
      <c r="M42" s="111"/>
    </row>
  </sheetData>
  <pageMargins left="0.7" right="0.7" top="0.75" bottom="0.75" header="0.3" footer="0.3"/>
  <pageSetup paperSize="9" scale="82" fitToHeight="0" orientation="landscape" r:id="rId1"/>
  <ignoredErrors>
    <ignoredError sqref="A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CF5FC-8AC3-4EE9-A162-AE30D8D7BE5E}">
  <sheetPr>
    <pageSetUpPr fitToPage="1"/>
  </sheetPr>
  <dimension ref="A1:L50"/>
  <sheetViews>
    <sheetView topLeftCell="A26" zoomScaleNormal="100" workbookViewId="0"/>
  </sheetViews>
  <sheetFormatPr defaultColWidth="9.1796875" defaultRowHeight="14" x14ac:dyDescent="0.3"/>
  <cols>
    <col min="1" max="1" width="36.1796875" style="2" customWidth="1"/>
    <col min="2" max="2" width="32.54296875" style="2" customWidth="1"/>
    <col min="3" max="3" width="11.26953125" style="2" customWidth="1"/>
    <col min="4" max="4" width="10" style="2" bestFit="1" customWidth="1"/>
    <col min="5" max="6" width="8" style="2" customWidth="1"/>
    <col min="7" max="9" width="9.1796875" style="2"/>
    <col min="10" max="10" width="9.81640625" style="2" customWidth="1"/>
    <col min="11" max="11" width="22" style="2" customWidth="1"/>
    <col min="12" max="16384" width="9.1796875" style="2"/>
  </cols>
  <sheetData>
    <row r="1" spans="1:11" x14ac:dyDescent="0.3">
      <c r="A1" s="7" t="s">
        <v>248</v>
      </c>
    </row>
    <row r="2" spans="1:11" ht="7.5" customHeight="1" x14ac:dyDescent="0.3"/>
    <row r="3" spans="1:11" ht="203.25" customHeight="1" x14ac:dyDescent="0.3">
      <c r="A3" s="237" t="s">
        <v>416</v>
      </c>
      <c r="B3" s="238"/>
      <c r="C3" s="238"/>
      <c r="D3" s="238"/>
      <c r="E3" s="238"/>
      <c r="F3" s="238"/>
      <c r="G3" s="238"/>
      <c r="H3" s="238"/>
      <c r="I3" s="238"/>
      <c r="J3" s="238"/>
      <c r="K3" s="239"/>
    </row>
    <row r="4" spans="1:11" x14ac:dyDescent="0.3">
      <c r="A4" s="147" t="s">
        <v>77</v>
      </c>
      <c r="G4" s="22" t="s">
        <v>249</v>
      </c>
      <c r="K4" s="107"/>
    </row>
    <row r="5" spans="1:11" x14ac:dyDescent="0.3">
      <c r="A5" s="161" t="s">
        <v>250</v>
      </c>
      <c r="B5" s="165" t="s">
        <v>251</v>
      </c>
      <c r="C5" s="162">
        <f>150000</f>
        <v>150000</v>
      </c>
      <c r="D5" s="244">
        <f>C5/C6</f>
        <v>0.3</v>
      </c>
      <c r="E5" s="102"/>
      <c r="F5" s="102"/>
      <c r="G5" s="240" t="s">
        <v>12</v>
      </c>
      <c r="H5" s="102"/>
      <c r="I5" s="102"/>
      <c r="J5" s="102"/>
      <c r="K5" s="105"/>
    </row>
    <row r="6" spans="1:11" x14ac:dyDescent="0.3">
      <c r="A6" s="121"/>
      <c r="B6" s="2" t="s">
        <v>252</v>
      </c>
      <c r="C6" s="15">
        <v>500000</v>
      </c>
      <c r="D6" s="245"/>
      <c r="G6" s="241"/>
      <c r="K6" s="107"/>
    </row>
    <row r="7" spans="1:11" ht="7" customHeight="1" x14ac:dyDescent="0.3">
      <c r="A7" s="121"/>
      <c r="D7" s="148"/>
      <c r="K7" s="107"/>
    </row>
    <row r="8" spans="1:11" x14ac:dyDescent="0.3">
      <c r="A8" s="161" t="s">
        <v>253</v>
      </c>
      <c r="B8" s="165" t="s">
        <v>85</v>
      </c>
      <c r="C8" s="162">
        <v>32800</v>
      </c>
      <c r="D8" s="246">
        <f>C8/C9</f>
        <v>6.5600000000000006E-2</v>
      </c>
      <c r="E8" s="102"/>
      <c r="F8" s="102"/>
      <c r="G8" s="240" t="s">
        <v>12</v>
      </c>
      <c r="H8" s="102"/>
      <c r="I8" s="102"/>
      <c r="J8" s="102"/>
      <c r="K8" s="105"/>
    </row>
    <row r="9" spans="1:11" x14ac:dyDescent="0.3">
      <c r="A9" s="121"/>
      <c r="B9" s="2" t="s">
        <v>252</v>
      </c>
      <c r="C9" s="15">
        <v>500000</v>
      </c>
      <c r="D9" s="247"/>
      <c r="G9" s="241"/>
      <c r="H9" s="15"/>
      <c r="K9" s="107"/>
    </row>
    <row r="10" spans="1:11" ht="7" customHeight="1" x14ac:dyDescent="0.3">
      <c r="A10" s="121"/>
      <c r="E10" s="149"/>
      <c r="K10" s="107"/>
    </row>
    <row r="11" spans="1:11" ht="14.25" customHeight="1" x14ac:dyDescent="0.3">
      <c r="A11" s="161" t="s">
        <v>254</v>
      </c>
      <c r="B11" s="166" t="s">
        <v>255</v>
      </c>
      <c r="C11" s="162">
        <f>84000-40500</f>
        <v>43500</v>
      </c>
      <c r="D11" s="248">
        <f>C11/C12</f>
        <v>1.8125</v>
      </c>
      <c r="E11" s="242"/>
      <c r="F11" s="102"/>
      <c r="G11" s="240" t="s">
        <v>12</v>
      </c>
      <c r="H11" s="102" t="s">
        <v>256</v>
      </c>
      <c r="I11" s="102"/>
      <c r="J11" s="102"/>
      <c r="K11" s="105"/>
    </row>
    <row r="12" spans="1:11" x14ac:dyDescent="0.3">
      <c r="A12" s="121"/>
      <c r="B12" s="2" t="s">
        <v>257</v>
      </c>
      <c r="C12" s="15">
        <v>24000</v>
      </c>
      <c r="D12" s="249"/>
      <c r="E12" s="243"/>
      <c r="G12" s="241"/>
      <c r="H12" s="235" t="s">
        <v>258</v>
      </c>
      <c r="I12" s="235"/>
      <c r="J12" s="235"/>
      <c r="K12" s="236"/>
    </row>
    <row r="13" spans="1:11" ht="7" customHeight="1" x14ac:dyDescent="0.3">
      <c r="A13" s="121"/>
      <c r="K13" s="107"/>
    </row>
    <row r="14" spans="1:11" x14ac:dyDescent="0.3">
      <c r="A14" s="161" t="s">
        <v>259</v>
      </c>
      <c r="B14" s="165" t="s">
        <v>85</v>
      </c>
      <c r="C14" s="162">
        <v>32800</v>
      </c>
      <c r="D14" s="246">
        <f>C14/C15</f>
        <v>9.1111111111111115E-2</v>
      </c>
      <c r="E14" s="102"/>
      <c r="F14" s="102"/>
      <c r="G14" s="240" t="s">
        <v>12</v>
      </c>
      <c r="H14" s="102" t="s">
        <v>260</v>
      </c>
      <c r="I14" s="102"/>
      <c r="J14" s="102"/>
      <c r="K14" s="105"/>
    </row>
    <row r="15" spans="1:11" x14ac:dyDescent="0.3">
      <c r="A15" s="121"/>
      <c r="B15" s="2" t="s">
        <v>83</v>
      </c>
      <c r="C15" s="15">
        <v>360000</v>
      </c>
      <c r="D15" s="247"/>
      <c r="G15" s="241"/>
      <c r="H15" s="2" t="s">
        <v>396</v>
      </c>
      <c r="K15" s="107"/>
    </row>
    <row r="16" spans="1:11" ht="7" customHeight="1" x14ac:dyDescent="0.3">
      <c r="A16" s="121"/>
      <c r="K16" s="107"/>
    </row>
    <row r="17" spans="1:12" ht="20.25" customHeight="1" x14ac:dyDescent="0.3">
      <c r="A17" s="253" t="s">
        <v>261</v>
      </c>
      <c r="B17" s="165" t="s">
        <v>262</v>
      </c>
      <c r="C17" s="251" t="s">
        <v>263</v>
      </c>
      <c r="D17" s="162">
        <v>31700</v>
      </c>
      <c r="E17" s="248">
        <f>(D17/D18)*365</f>
        <v>28.92625</v>
      </c>
      <c r="F17" s="251" t="s">
        <v>264</v>
      </c>
      <c r="G17" s="231" t="s">
        <v>41</v>
      </c>
      <c r="H17" s="229" t="s">
        <v>265</v>
      </c>
      <c r="I17" s="229"/>
      <c r="J17" s="229"/>
      <c r="K17" s="230"/>
    </row>
    <row r="18" spans="1:12" ht="14.5" customHeight="1" x14ac:dyDescent="0.3">
      <c r="A18" s="254"/>
      <c r="B18" s="2" t="s">
        <v>137</v>
      </c>
      <c r="C18" s="252"/>
      <c r="D18" s="15">
        <f>500000*80%</f>
        <v>400000</v>
      </c>
      <c r="E18" s="249"/>
      <c r="F18" s="252"/>
      <c r="G18" s="232"/>
      <c r="H18" s="225" t="s">
        <v>369</v>
      </c>
      <c r="I18" s="225"/>
      <c r="J18" s="225"/>
      <c r="K18" s="226"/>
    </row>
    <row r="19" spans="1:12" s="12" customFormat="1" ht="17.25" customHeight="1" x14ac:dyDescent="0.3">
      <c r="A19" s="150"/>
      <c r="C19" s="151"/>
      <c r="D19" s="152"/>
      <c r="E19" s="153"/>
      <c r="F19" s="151"/>
      <c r="G19" s="154"/>
      <c r="H19" s="225" t="s">
        <v>370</v>
      </c>
      <c r="I19" s="225"/>
      <c r="J19" s="225"/>
      <c r="K19" s="226"/>
    </row>
    <row r="20" spans="1:12" ht="7" customHeight="1" x14ac:dyDescent="0.3">
      <c r="A20" s="121"/>
      <c r="H20" s="15"/>
      <c r="K20" s="107"/>
    </row>
    <row r="21" spans="1:12" x14ac:dyDescent="0.3">
      <c r="A21" s="161" t="s">
        <v>266</v>
      </c>
      <c r="B21" s="165" t="s">
        <v>267</v>
      </c>
      <c r="C21" s="162">
        <f>150000-32800</f>
        <v>117200</v>
      </c>
      <c r="D21" s="246">
        <f>C21/C22</f>
        <v>0.2344</v>
      </c>
      <c r="E21" s="102"/>
      <c r="F21" s="102"/>
      <c r="G21" s="231" t="s">
        <v>41</v>
      </c>
      <c r="H21" s="229" t="s">
        <v>268</v>
      </c>
      <c r="I21" s="229"/>
      <c r="J21" s="229"/>
      <c r="K21" s="230"/>
      <c r="L21" s="15"/>
    </row>
    <row r="22" spans="1:12" ht="14.25" customHeight="1" x14ac:dyDescent="0.3">
      <c r="A22" s="121"/>
      <c r="B22" s="2" t="s">
        <v>252</v>
      </c>
      <c r="C22" s="15">
        <v>500000</v>
      </c>
      <c r="D22" s="247"/>
      <c r="G22" s="232"/>
      <c r="H22" s="233" t="s">
        <v>269</v>
      </c>
      <c r="I22" s="233"/>
      <c r="J22" s="233"/>
      <c r="K22" s="234"/>
    </row>
    <row r="23" spans="1:12" x14ac:dyDescent="0.3">
      <c r="A23" s="121"/>
      <c r="C23" s="15"/>
      <c r="D23" s="155"/>
      <c r="G23" s="156"/>
      <c r="H23" s="235" t="s">
        <v>270</v>
      </c>
      <c r="I23" s="235"/>
      <c r="J23" s="235"/>
      <c r="K23" s="236"/>
    </row>
    <row r="24" spans="1:12" ht="7" customHeight="1" x14ac:dyDescent="0.3">
      <c r="A24" s="121"/>
      <c r="H24" s="157"/>
      <c r="I24" s="157"/>
      <c r="J24" s="157"/>
      <c r="K24" s="158"/>
    </row>
    <row r="25" spans="1:12" x14ac:dyDescent="0.3">
      <c r="A25" s="101" t="s">
        <v>271</v>
      </c>
      <c r="B25" s="165" t="s">
        <v>272</v>
      </c>
      <c r="C25" s="162">
        <f>500000-150000</f>
        <v>350000</v>
      </c>
      <c r="D25" s="251">
        <f>C25/C26</f>
        <v>10</v>
      </c>
      <c r="E25" s="251" t="s">
        <v>273</v>
      </c>
      <c r="F25" s="102"/>
      <c r="G25" s="231" t="s">
        <v>135</v>
      </c>
      <c r="H25" s="229" t="s">
        <v>274</v>
      </c>
      <c r="I25" s="229"/>
      <c r="J25" s="229"/>
      <c r="K25" s="230"/>
    </row>
    <row r="26" spans="1:12" x14ac:dyDescent="0.3">
      <c r="A26" s="108"/>
      <c r="B26" s="2" t="s">
        <v>275</v>
      </c>
      <c r="C26" s="15">
        <f>(29500+40500)/2</f>
        <v>35000</v>
      </c>
      <c r="D26" s="252"/>
      <c r="E26" s="252"/>
      <c r="G26" s="232"/>
      <c r="H26" s="235" t="s">
        <v>276</v>
      </c>
      <c r="I26" s="235"/>
      <c r="J26" s="235"/>
      <c r="K26" s="236"/>
    </row>
    <row r="27" spans="1:12" ht="14.5" customHeight="1" x14ac:dyDescent="0.3">
      <c r="A27" s="108"/>
      <c r="C27" s="15"/>
      <c r="D27" s="19"/>
      <c r="E27" s="19"/>
      <c r="G27" s="156"/>
      <c r="H27" s="225" t="s">
        <v>397</v>
      </c>
      <c r="I27" s="225"/>
      <c r="J27" s="225"/>
      <c r="K27" s="226"/>
    </row>
    <row r="28" spans="1:12" ht="14.5" customHeight="1" x14ac:dyDescent="0.3">
      <c r="A28" s="108"/>
      <c r="C28" s="15"/>
      <c r="D28" s="19"/>
      <c r="E28" s="19"/>
      <c r="H28" s="225"/>
      <c r="I28" s="225"/>
      <c r="J28" s="225"/>
      <c r="K28" s="226"/>
    </row>
    <row r="29" spans="1:12" ht="15" customHeight="1" x14ac:dyDescent="0.3">
      <c r="A29" s="108"/>
      <c r="C29" s="15"/>
      <c r="D29" s="19"/>
      <c r="E29" s="19"/>
      <c r="H29" s="225"/>
      <c r="I29" s="225"/>
      <c r="J29" s="225"/>
      <c r="K29" s="226"/>
    </row>
    <row r="30" spans="1:12" ht="6" customHeight="1" x14ac:dyDescent="0.3">
      <c r="A30" s="118"/>
      <c r="B30" s="102"/>
      <c r="C30" s="163"/>
      <c r="D30" s="164"/>
      <c r="E30" s="164"/>
      <c r="F30" s="102"/>
      <c r="G30" s="102"/>
      <c r="H30" s="145"/>
      <c r="I30" s="145"/>
      <c r="J30" s="145"/>
      <c r="K30" s="146"/>
    </row>
    <row r="31" spans="1:12" ht="14.15" customHeight="1" x14ac:dyDescent="0.3">
      <c r="A31" s="110"/>
      <c r="B31" s="13" t="s">
        <v>277</v>
      </c>
      <c r="C31" s="14"/>
      <c r="D31" s="159"/>
      <c r="E31" s="159"/>
      <c r="F31" s="13"/>
      <c r="G31" s="160" t="s">
        <v>12</v>
      </c>
      <c r="H31" s="227" t="s">
        <v>278</v>
      </c>
      <c r="I31" s="227"/>
      <c r="J31" s="227"/>
      <c r="K31" s="228"/>
    </row>
    <row r="32" spans="1:12" ht="14.15" customHeight="1" x14ac:dyDescent="0.3">
      <c r="C32" s="15"/>
      <c r="D32" s="19"/>
      <c r="E32" s="19"/>
      <c r="G32" s="25"/>
    </row>
    <row r="33" spans="1:11" x14ac:dyDescent="0.3">
      <c r="A33" s="101" t="s">
        <v>43</v>
      </c>
      <c r="B33" s="102"/>
      <c r="C33" s="102"/>
      <c r="D33" s="102"/>
      <c r="E33" s="102"/>
      <c r="F33" s="102"/>
      <c r="G33" s="103" t="s">
        <v>78</v>
      </c>
      <c r="H33" s="102" t="s">
        <v>372</v>
      </c>
      <c r="I33" s="102"/>
      <c r="J33" s="102"/>
      <c r="K33" s="105"/>
    </row>
    <row r="34" spans="1:11" x14ac:dyDescent="0.3">
      <c r="A34" s="109" t="s">
        <v>279</v>
      </c>
      <c r="H34" s="2" t="s">
        <v>373</v>
      </c>
      <c r="K34" s="107"/>
    </row>
    <row r="35" spans="1:11" x14ac:dyDescent="0.3">
      <c r="A35" s="250" t="s">
        <v>280</v>
      </c>
      <c r="B35" s="233"/>
      <c r="C35" s="15"/>
      <c r="H35" s="2" t="s">
        <v>374</v>
      </c>
      <c r="I35" s="157"/>
      <c r="J35" s="157"/>
      <c r="K35" s="158"/>
    </row>
    <row r="36" spans="1:11" x14ac:dyDescent="0.3">
      <c r="A36" s="167" t="s">
        <v>282</v>
      </c>
      <c r="C36" s="15">
        <f>350000+40500-29500</f>
        <v>361000</v>
      </c>
      <c r="H36" s="2" t="s">
        <v>375</v>
      </c>
      <c r="I36" s="157"/>
      <c r="J36" s="157"/>
      <c r="K36" s="158"/>
    </row>
    <row r="37" spans="1:11" x14ac:dyDescent="0.3">
      <c r="A37" s="168" t="s">
        <v>284</v>
      </c>
      <c r="H37" s="2" t="s">
        <v>376</v>
      </c>
      <c r="I37" s="157"/>
      <c r="J37" s="157"/>
      <c r="K37" s="158"/>
    </row>
    <row r="38" spans="1:11" x14ac:dyDescent="0.3">
      <c r="A38" s="108"/>
      <c r="K38" s="107"/>
    </row>
    <row r="39" spans="1:11" x14ac:dyDescent="0.3">
      <c r="A39" s="108"/>
      <c r="H39" s="157" t="s">
        <v>281</v>
      </c>
      <c r="K39" s="107"/>
    </row>
    <row r="40" spans="1:11" x14ac:dyDescent="0.3">
      <c r="A40" s="108"/>
      <c r="H40" s="157" t="s">
        <v>371</v>
      </c>
      <c r="K40" s="107"/>
    </row>
    <row r="41" spans="1:11" x14ac:dyDescent="0.3">
      <c r="A41" s="108"/>
      <c r="H41" s="157" t="s">
        <v>283</v>
      </c>
      <c r="K41" s="107"/>
    </row>
    <row r="42" spans="1:11" x14ac:dyDescent="0.3">
      <c r="A42" s="108"/>
      <c r="H42" s="157" t="s">
        <v>285</v>
      </c>
      <c r="K42" s="107"/>
    </row>
    <row r="43" spans="1:11" x14ac:dyDescent="0.3">
      <c r="A43" s="108"/>
      <c r="H43" s="169" t="s">
        <v>286</v>
      </c>
      <c r="K43" s="107"/>
    </row>
    <row r="44" spans="1:11" x14ac:dyDescent="0.3">
      <c r="A44" s="108"/>
      <c r="H44" s="169"/>
      <c r="K44" s="107"/>
    </row>
    <row r="45" spans="1:11" ht="14.5" customHeight="1" x14ac:dyDescent="0.3">
      <c r="A45" s="108"/>
      <c r="H45" s="222" t="s">
        <v>287</v>
      </c>
      <c r="I45" s="222"/>
      <c r="J45" s="222"/>
      <c r="K45" s="223"/>
    </row>
    <row r="46" spans="1:11" ht="14.5" customHeight="1" x14ac:dyDescent="0.3">
      <c r="A46" s="108"/>
      <c r="H46" s="222"/>
      <c r="I46" s="222"/>
      <c r="J46" s="222"/>
      <c r="K46" s="223"/>
    </row>
    <row r="47" spans="1:11" ht="14.25" customHeight="1" x14ac:dyDescent="0.3">
      <c r="A47" s="108"/>
      <c r="H47" s="225" t="s">
        <v>288</v>
      </c>
      <c r="I47" s="225"/>
      <c r="J47" s="225"/>
      <c r="K47" s="226"/>
    </row>
    <row r="48" spans="1:11" x14ac:dyDescent="0.3">
      <c r="A48" s="108"/>
      <c r="H48" s="225"/>
      <c r="I48" s="225"/>
      <c r="J48" s="225"/>
      <c r="K48" s="226"/>
    </row>
    <row r="49" spans="1:11" x14ac:dyDescent="0.3">
      <c r="A49" s="110"/>
      <c r="B49" s="13"/>
      <c r="C49" s="13"/>
      <c r="D49" s="13"/>
      <c r="E49" s="13"/>
      <c r="F49" s="13"/>
      <c r="G49" s="13"/>
      <c r="H49" s="227"/>
      <c r="I49" s="227"/>
      <c r="J49" s="227"/>
      <c r="K49" s="228"/>
    </row>
    <row r="50" spans="1:11" x14ac:dyDescent="0.3">
      <c r="H50" s="30"/>
      <c r="I50" s="30"/>
      <c r="J50" s="30"/>
      <c r="K50" s="30"/>
    </row>
  </sheetData>
  <mergeCells count="34">
    <mergeCell ref="D14:D15"/>
    <mergeCell ref="G14:G15"/>
    <mergeCell ref="A35:B35"/>
    <mergeCell ref="E17:E18"/>
    <mergeCell ref="D21:D22"/>
    <mergeCell ref="D25:D26"/>
    <mergeCell ref="F17:F18"/>
    <mergeCell ref="E25:E26"/>
    <mergeCell ref="C17:C18"/>
    <mergeCell ref="A17:A18"/>
    <mergeCell ref="A3:K3"/>
    <mergeCell ref="G5:G6"/>
    <mergeCell ref="G8:G9"/>
    <mergeCell ref="G11:G12"/>
    <mergeCell ref="E11:E12"/>
    <mergeCell ref="H12:K12"/>
    <mergeCell ref="D5:D6"/>
    <mergeCell ref="D8:D9"/>
    <mergeCell ref="D11:D12"/>
    <mergeCell ref="H47:K49"/>
    <mergeCell ref="H17:K17"/>
    <mergeCell ref="H18:K18"/>
    <mergeCell ref="G25:G26"/>
    <mergeCell ref="H21:K21"/>
    <mergeCell ref="H22:K22"/>
    <mergeCell ref="H25:K25"/>
    <mergeCell ref="H26:K26"/>
    <mergeCell ref="G21:G22"/>
    <mergeCell ref="G17:G18"/>
    <mergeCell ref="H45:K46"/>
    <mergeCell ref="H19:K19"/>
    <mergeCell ref="H27:K29"/>
    <mergeCell ref="H23:K23"/>
    <mergeCell ref="H31:K31"/>
  </mergeCells>
  <pageMargins left="0.7" right="0.7" top="0.75" bottom="0.75" header="0.3" footer="0.3"/>
  <pageSetup paperSize="9" scale="79" fitToHeight="0" orientation="landscape" r:id="rId1"/>
  <rowBreaks count="1" manualBreakCount="1">
    <brk id="3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67C87-877E-45E3-B8C9-C82BF280B907}">
  <sheetPr>
    <pageSetUpPr fitToPage="1"/>
  </sheetPr>
  <dimension ref="A1:H34"/>
  <sheetViews>
    <sheetView topLeftCell="A13" zoomScaleNormal="100" workbookViewId="0"/>
  </sheetViews>
  <sheetFormatPr defaultColWidth="9.1796875" defaultRowHeight="14" x14ac:dyDescent="0.3"/>
  <cols>
    <col min="1" max="1" width="33.453125" style="16" customWidth="1"/>
    <col min="2" max="2" width="18.7265625" style="2" bestFit="1" customWidth="1"/>
    <col min="3" max="3" width="11.81640625" style="2" bestFit="1" customWidth="1"/>
    <col min="4" max="4" width="10.453125" style="2" bestFit="1" customWidth="1"/>
    <col min="5" max="5" width="5.54296875" style="2" customWidth="1"/>
    <col min="6" max="6" width="9.26953125" style="2" bestFit="1" customWidth="1"/>
    <col min="7" max="7" width="17.81640625" style="2" customWidth="1"/>
    <col min="8" max="8" width="17" style="2" customWidth="1"/>
    <col min="9" max="16384" width="9.1796875" style="2"/>
  </cols>
  <sheetData>
    <row r="1" spans="1:8" x14ac:dyDescent="0.3">
      <c r="A1" s="170" t="s">
        <v>289</v>
      </c>
      <c r="B1" s="102"/>
      <c r="C1" s="102"/>
      <c r="D1" s="102"/>
      <c r="E1" s="102"/>
      <c r="F1" s="102"/>
      <c r="G1" s="102"/>
      <c r="H1" s="105"/>
    </row>
    <row r="2" spans="1:8" x14ac:dyDescent="0.3">
      <c r="A2" s="171" t="s">
        <v>290</v>
      </c>
      <c r="H2" s="115" t="s">
        <v>206</v>
      </c>
    </row>
    <row r="3" spans="1:8" ht="3.75" customHeight="1" x14ac:dyDescent="0.3">
      <c r="A3" s="108"/>
      <c r="H3" s="115"/>
    </row>
    <row r="4" spans="1:8" x14ac:dyDescent="0.3">
      <c r="A4" s="172" t="s">
        <v>291</v>
      </c>
      <c r="B4" s="1" t="s">
        <v>292</v>
      </c>
      <c r="C4" s="1" t="s">
        <v>293</v>
      </c>
      <c r="D4" s="1" t="s">
        <v>294</v>
      </c>
      <c r="E4" s="1"/>
      <c r="F4" s="1" t="s">
        <v>295</v>
      </c>
      <c r="G4" s="1" t="s">
        <v>296</v>
      </c>
      <c r="H4" s="107"/>
    </row>
    <row r="5" spans="1:8" x14ac:dyDescent="0.3">
      <c r="A5" s="172"/>
      <c r="B5" s="173"/>
      <c r="C5" s="173" t="s">
        <v>297</v>
      </c>
      <c r="D5" s="173" t="s">
        <v>297</v>
      </c>
      <c r="E5" s="173"/>
      <c r="F5" s="173" t="s">
        <v>297</v>
      </c>
      <c r="G5" s="173" t="s">
        <v>297</v>
      </c>
      <c r="H5" s="107"/>
    </row>
    <row r="6" spans="1:8" ht="14.5" customHeight="1" x14ac:dyDescent="0.3">
      <c r="A6" s="174" t="s">
        <v>298</v>
      </c>
      <c r="B6" s="2" t="s">
        <v>299</v>
      </c>
      <c r="C6" s="17">
        <v>6200</v>
      </c>
      <c r="D6" s="17">
        <v>2325</v>
      </c>
      <c r="E6" s="17"/>
      <c r="F6" s="17">
        <v>875</v>
      </c>
      <c r="G6" s="17">
        <v>3000</v>
      </c>
      <c r="H6" s="117" t="s">
        <v>300</v>
      </c>
    </row>
    <row r="7" spans="1:8" ht="14.5" customHeight="1" x14ac:dyDescent="0.3">
      <c r="A7" s="174" t="s">
        <v>301</v>
      </c>
      <c r="B7" s="2" t="s">
        <v>302</v>
      </c>
      <c r="C7" s="17">
        <v>18000</v>
      </c>
      <c r="D7" s="17">
        <f>($C$7/4500)*1000</f>
        <v>4000</v>
      </c>
      <c r="E7" s="21" t="s">
        <v>303</v>
      </c>
      <c r="F7" s="17">
        <f>($C$7/4500)*2000</f>
        <v>8000</v>
      </c>
      <c r="G7" s="98">
        <f>($C$7/4500)*1500</f>
        <v>6000</v>
      </c>
      <c r="H7" s="117" t="s">
        <v>303</v>
      </c>
    </row>
    <row r="8" spans="1:8" ht="14.5" customHeight="1" x14ac:dyDescent="0.3">
      <c r="A8" s="175" t="s">
        <v>304</v>
      </c>
      <c r="B8" s="2" t="s">
        <v>305</v>
      </c>
      <c r="C8" s="17">
        <v>6000</v>
      </c>
      <c r="D8" s="17">
        <f t="shared" ref="D8" si="0">($C$8/160000)*56000</f>
        <v>2100</v>
      </c>
      <c r="E8" s="21" t="s">
        <v>303</v>
      </c>
      <c r="F8" s="17">
        <f>($C$8/160000)*72000</f>
        <v>2700</v>
      </c>
      <c r="G8" s="17">
        <f>($C$8/160000)*32000</f>
        <v>1200</v>
      </c>
      <c r="H8" s="117" t="s">
        <v>303</v>
      </c>
    </row>
    <row r="9" spans="1:8" ht="17.25" customHeight="1" x14ac:dyDescent="0.3">
      <c r="A9" s="174" t="s">
        <v>306</v>
      </c>
      <c r="B9" s="2" t="s">
        <v>307</v>
      </c>
      <c r="C9" s="17">
        <v>24000</v>
      </c>
      <c r="D9" s="17">
        <f>($C$9/40)*20</f>
        <v>12000</v>
      </c>
      <c r="E9" s="21" t="s">
        <v>303</v>
      </c>
      <c r="F9" s="17">
        <f>($C$9/40)*12</f>
        <v>7200</v>
      </c>
      <c r="G9" s="17">
        <f>($C$9/40)*8</f>
        <v>4800</v>
      </c>
      <c r="H9" s="117" t="s">
        <v>303</v>
      </c>
    </row>
    <row r="10" spans="1:8" ht="17.25" customHeight="1" thickBot="1" x14ac:dyDescent="0.35">
      <c r="A10" s="175" t="s">
        <v>308</v>
      </c>
      <c r="B10" s="2" t="s">
        <v>309</v>
      </c>
      <c r="C10" s="17">
        <v>15400</v>
      </c>
      <c r="D10" s="63">
        <f>$C$10*5/7</f>
        <v>11000</v>
      </c>
      <c r="E10" s="21" t="s">
        <v>303</v>
      </c>
      <c r="F10" s="17">
        <f>C10*2/7</f>
        <v>4400</v>
      </c>
      <c r="G10" s="17">
        <v>0</v>
      </c>
      <c r="H10" s="117" t="s">
        <v>303</v>
      </c>
    </row>
    <row r="11" spans="1:8" ht="14.5" customHeight="1" thickTop="1" thickBot="1" x14ac:dyDescent="0.35">
      <c r="A11" s="171" t="s">
        <v>293</v>
      </c>
      <c r="B11" s="176"/>
      <c r="C11" s="64"/>
      <c r="D11" s="17">
        <f t="shared" ref="D11:F11" si="1">SUM(D6:D10)</f>
        <v>31425</v>
      </c>
      <c r="E11" s="17"/>
      <c r="F11" s="61">
        <f t="shared" si="1"/>
        <v>23175</v>
      </c>
      <c r="G11" s="99">
        <f>SUM(G6:G10)</f>
        <v>15000</v>
      </c>
      <c r="H11" s="117" t="s">
        <v>303</v>
      </c>
    </row>
    <row r="12" spans="1:8" ht="14.5" thickTop="1" x14ac:dyDescent="0.3">
      <c r="A12" s="171"/>
      <c r="B12" s="176"/>
      <c r="C12" s="64"/>
      <c r="D12" s="17"/>
      <c r="E12" s="17"/>
      <c r="F12" s="17"/>
      <c r="G12" s="17"/>
      <c r="H12" s="177" t="s">
        <v>310</v>
      </c>
    </row>
    <row r="13" spans="1:8" ht="26.25" customHeight="1" thickBot="1" x14ac:dyDescent="0.35">
      <c r="A13" s="178" t="s">
        <v>296</v>
      </c>
      <c r="B13" s="2" t="s">
        <v>307</v>
      </c>
      <c r="C13" s="17">
        <f>G11</f>
        <v>15000</v>
      </c>
      <c r="D13" s="201">
        <f>$C$13*(20/32)</f>
        <v>9375</v>
      </c>
      <c r="E13" s="21" t="s">
        <v>311</v>
      </c>
      <c r="F13" s="201">
        <f>$C$13*(12/32)</f>
        <v>5625</v>
      </c>
      <c r="G13" s="17"/>
      <c r="H13" s="117" t="s">
        <v>12</v>
      </c>
    </row>
    <row r="14" spans="1:8" ht="14.5" customHeight="1" thickTop="1" thickBot="1" x14ac:dyDescent="0.35">
      <c r="A14" s="171" t="s">
        <v>312</v>
      </c>
      <c r="B14" s="176"/>
      <c r="C14" s="64"/>
      <c r="D14" s="62">
        <f>SUM(D11:D13)</f>
        <v>40800</v>
      </c>
      <c r="E14" s="17"/>
      <c r="F14" s="62">
        <f>SUM(F11:F13)</f>
        <v>28800</v>
      </c>
      <c r="G14" s="17"/>
      <c r="H14" s="117" t="s">
        <v>303</v>
      </c>
    </row>
    <row r="15" spans="1:8" ht="7.5" customHeight="1" thickTop="1" x14ac:dyDescent="0.3">
      <c r="A15" s="178"/>
      <c r="D15" s="17"/>
      <c r="E15" s="17"/>
      <c r="F15" s="17"/>
      <c r="G15" s="17"/>
      <c r="H15" s="107"/>
    </row>
    <row r="16" spans="1:8" x14ac:dyDescent="0.3">
      <c r="A16" s="183" t="s">
        <v>77</v>
      </c>
      <c r="B16" s="102"/>
      <c r="C16" s="102"/>
      <c r="D16" s="184"/>
      <c r="E16" s="184"/>
      <c r="F16" s="184"/>
      <c r="G16" s="184"/>
      <c r="H16" s="105"/>
    </row>
    <row r="17" spans="1:8" ht="14.5" customHeight="1" x14ac:dyDescent="0.3">
      <c r="A17" s="259" t="s">
        <v>313</v>
      </c>
      <c r="B17" s="243"/>
      <c r="C17" s="243"/>
      <c r="D17" s="243"/>
      <c r="E17" s="243"/>
      <c r="F17" s="243"/>
      <c r="G17" s="243"/>
      <c r="H17" s="107"/>
    </row>
    <row r="18" spans="1:8" x14ac:dyDescent="0.3">
      <c r="A18" s="259" t="s">
        <v>314</v>
      </c>
      <c r="B18" s="243"/>
      <c r="C18" s="243"/>
      <c r="D18" s="243"/>
      <c r="E18" s="243"/>
      <c r="F18" s="243"/>
      <c r="G18" s="243"/>
      <c r="H18" s="107"/>
    </row>
    <row r="19" spans="1:8" ht="7" customHeight="1" x14ac:dyDescent="0.3">
      <c r="A19" s="140"/>
      <c r="B19" s="97"/>
      <c r="C19" s="97"/>
      <c r="D19" s="97"/>
      <c r="E19" s="97"/>
      <c r="F19" s="97"/>
      <c r="G19" s="97"/>
      <c r="H19" s="107"/>
    </row>
    <row r="20" spans="1:8" x14ac:dyDescent="0.3">
      <c r="A20" s="143" t="s">
        <v>43</v>
      </c>
      <c r="B20" s="185"/>
      <c r="C20" s="185"/>
      <c r="D20" s="185"/>
      <c r="E20" s="185"/>
      <c r="F20" s="185"/>
      <c r="G20" s="185"/>
      <c r="H20" s="105"/>
    </row>
    <row r="21" spans="1:8" x14ac:dyDescent="0.3">
      <c r="A21" s="140" t="s">
        <v>315</v>
      </c>
      <c r="B21" s="97"/>
      <c r="C21" s="97"/>
      <c r="D21" s="97"/>
      <c r="E21" s="97"/>
      <c r="F21" s="97"/>
      <c r="G21" s="97"/>
      <c r="H21" s="107"/>
    </row>
    <row r="22" spans="1:8" ht="48.75" customHeight="1" x14ac:dyDescent="0.3">
      <c r="A22" s="219" t="s">
        <v>316</v>
      </c>
      <c r="B22" s="215"/>
      <c r="C22" s="215"/>
      <c r="D22" s="215"/>
      <c r="E22" s="215"/>
      <c r="F22" s="215"/>
      <c r="G22" s="215"/>
      <c r="H22" s="107"/>
    </row>
    <row r="23" spans="1:8" ht="14.25" customHeight="1" x14ac:dyDescent="0.3">
      <c r="A23" s="219" t="s">
        <v>317</v>
      </c>
      <c r="B23" s="215"/>
      <c r="C23" s="215"/>
      <c r="D23" s="215"/>
      <c r="E23" s="215"/>
      <c r="F23" s="215"/>
      <c r="G23" s="215"/>
      <c r="H23" s="107"/>
    </row>
    <row r="24" spans="1:8" ht="14.25" customHeight="1" x14ac:dyDescent="0.3">
      <c r="A24" s="219" t="s">
        <v>318</v>
      </c>
      <c r="B24" s="215"/>
      <c r="C24" s="215"/>
      <c r="D24" s="215"/>
      <c r="E24" s="215"/>
      <c r="F24" s="215"/>
      <c r="G24" s="215"/>
      <c r="H24" s="107"/>
    </row>
    <row r="25" spans="1:8" x14ac:dyDescent="0.3">
      <c r="A25" s="259" t="s">
        <v>319</v>
      </c>
      <c r="B25" s="243"/>
      <c r="C25" s="243"/>
      <c r="D25" s="243"/>
      <c r="E25" s="243"/>
      <c r="F25" s="243"/>
      <c r="G25" s="243"/>
      <c r="H25" s="107"/>
    </row>
    <row r="26" spans="1:8" ht="26.25" customHeight="1" x14ac:dyDescent="0.3">
      <c r="A26" s="219" t="s">
        <v>320</v>
      </c>
      <c r="B26" s="215"/>
      <c r="C26" s="215"/>
      <c r="D26" s="215"/>
      <c r="E26" s="215"/>
      <c r="F26" s="215"/>
      <c r="G26" s="215"/>
      <c r="H26" s="107"/>
    </row>
    <row r="27" spans="1:8" x14ac:dyDescent="0.3">
      <c r="A27" s="260" t="s">
        <v>321</v>
      </c>
      <c r="B27" s="222"/>
      <c r="C27" s="222"/>
      <c r="D27" s="222"/>
      <c r="E27" s="222"/>
      <c r="F27" s="222"/>
      <c r="G27" s="222"/>
      <c r="H27" s="107"/>
    </row>
    <row r="28" spans="1:8" s="8" customFormat="1" ht="14.25" customHeight="1" x14ac:dyDescent="0.3">
      <c r="A28" s="179" t="s">
        <v>322</v>
      </c>
      <c r="H28" s="180"/>
    </row>
    <row r="29" spans="1:8" ht="7" customHeight="1" x14ac:dyDescent="0.3">
      <c r="A29" s="181"/>
      <c r="B29" s="96"/>
      <c r="C29" s="96"/>
      <c r="D29" s="96"/>
      <c r="E29" s="96"/>
      <c r="F29" s="96"/>
      <c r="G29" s="96"/>
      <c r="H29" s="107"/>
    </row>
    <row r="30" spans="1:8" x14ac:dyDescent="0.3">
      <c r="A30" s="186" t="s">
        <v>101</v>
      </c>
      <c r="B30" s="102"/>
      <c r="C30" s="102"/>
      <c r="D30" s="184"/>
      <c r="E30" s="184"/>
      <c r="F30" s="184"/>
      <c r="G30" s="184"/>
      <c r="H30" s="114" t="s">
        <v>45</v>
      </c>
    </row>
    <row r="31" spans="1:8" x14ac:dyDescent="0.3">
      <c r="A31" s="257" t="s">
        <v>323</v>
      </c>
      <c r="B31" s="258"/>
      <c r="C31" s="258"/>
      <c r="D31" s="258"/>
      <c r="E31" s="258"/>
      <c r="F31" s="258"/>
      <c r="G31" s="182" t="s">
        <v>12</v>
      </c>
      <c r="H31" s="107"/>
    </row>
    <row r="32" spans="1:8" ht="13.5" customHeight="1" x14ac:dyDescent="0.3">
      <c r="A32" s="255" t="s">
        <v>324</v>
      </c>
      <c r="B32" s="256"/>
      <c r="C32" s="256"/>
      <c r="D32" s="256"/>
      <c r="E32" s="256"/>
      <c r="F32" s="256"/>
      <c r="G32" s="256"/>
      <c r="H32" s="111"/>
    </row>
    <row r="33" spans="1:7" x14ac:dyDescent="0.3">
      <c r="A33" s="2"/>
    </row>
    <row r="34" spans="1:7" ht="11.25" customHeight="1" x14ac:dyDescent="0.3">
      <c r="A34" s="12"/>
      <c r="B34" s="12"/>
      <c r="C34" s="12"/>
      <c r="D34" s="12"/>
      <c r="E34" s="12"/>
      <c r="F34" s="12"/>
      <c r="G34" s="12"/>
    </row>
  </sheetData>
  <mergeCells count="10">
    <mergeCell ref="A26:G26"/>
    <mergeCell ref="A32:G32"/>
    <mergeCell ref="A31:F31"/>
    <mergeCell ref="A17:G17"/>
    <mergeCell ref="A18:G18"/>
    <mergeCell ref="A25:G25"/>
    <mergeCell ref="A27:G27"/>
    <mergeCell ref="A22:G22"/>
    <mergeCell ref="A23:G23"/>
    <mergeCell ref="A24:G24"/>
  </mergeCells>
  <pageMargins left="0.7" right="0.7" top="0.75" bottom="0.75" header="0.3" footer="0.3"/>
  <pageSetup paperSize="9"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8E0C4A-B310-415D-8F32-E53D9DE39F12}">
  <sheetPr>
    <pageSetUpPr fitToPage="1"/>
  </sheetPr>
  <dimension ref="A1:M43"/>
  <sheetViews>
    <sheetView topLeftCell="A13" zoomScaleNormal="100" workbookViewId="0">
      <selection activeCell="A5" sqref="A5"/>
    </sheetView>
  </sheetViews>
  <sheetFormatPr defaultColWidth="9.1796875" defaultRowHeight="14" x14ac:dyDescent="0.3"/>
  <cols>
    <col min="1" max="1" width="26.453125" style="2" customWidth="1"/>
    <col min="2" max="2" width="25.26953125" style="2" customWidth="1"/>
    <col min="3" max="3" width="10.7265625" style="2" customWidth="1"/>
    <col min="4" max="9" width="9.1796875" style="2"/>
    <col min="10" max="10" width="9.7265625" style="2" customWidth="1"/>
    <col min="11" max="16384" width="9.1796875" style="2"/>
  </cols>
  <sheetData>
    <row r="1" spans="1:13" x14ac:dyDescent="0.3">
      <c r="A1" s="187" t="s">
        <v>325</v>
      </c>
      <c r="B1" s="102"/>
      <c r="C1" s="102"/>
      <c r="D1" s="102"/>
      <c r="E1" s="102"/>
      <c r="F1" s="102"/>
      <c r="G1" s="102"/>
      <c r="H1" s="102"/>
      <c r="I1" s="102"/>
      <c r="J1" s="102"/>
      <c r="K1" s="102"/>
      <c r="L1" s="105"/>
    </row>
    <row r="2" spans="1:13" x14ac:dyDescent="0.3">
      <c r="A2" s="109" t="s">
        <v>326</v>
      </c>
      <c r="L2" s="107"/>
    </row>
    <row r="3" spans="1:13" x14ac:dyDescent="0.3">
      <c r="A3" s="108"/>
      <c r="L3" s="107"/>
    </row>
    <row r="4" spans="1:13" ht="178.5" customHeight="1" x14ac:dyDescent="0.3">
      <c r="A4" s="261" t="s">
        <v>417</v>
      </c>
      <c r="B4" s="262"/>
      <c r="C4" s="262"/>
      <c r="D4" s="262"/>
      <c r="E4" s="262"/>
      <c r="F4" s="262"/>
      <c r="G4" s="262"/>
      <c r="H4" s="262"/>
      <c r="I4" s="262"/>
      <c r="J4" s="262"/>
      <c r="K4" s="262"/>
      <c r="L4" s="263"/>
      <c r="M4" s="49"/>
    </row>
    <row r="5" spans="1:13" x14ac:dyDescent="0.3">
      <c r="A5" s="101" t="s">
        <v>327</v>
      </c>
      <c r="B5" s="102"/>
      <c r="C5" s="102"/>
      <c r="D5" s="102"/>
      <c r="E5" s="102"/>
      <c r="F5" s="103" t="s">
        <v>92</v>
      </c>
      <c r="G5" s="102"/>
      <c r="H5" s="102"/>
      <c r="I5" s="102"/>
      <c r="J5" s="102"/>
      <c r="K5" s="102"/>
      <c r="L5" s="105"/>
    </row>
    <row r="6" spans="1:13" ht="16.5" customHeight="1" x14ac:dyDescent="0.3">
      <c r="A6" s="188" t="s">
        <v>328</v>
      </c>
      <c r="B6" s="195" t="s">
        <v>252</v>
      </c>
      <c r="C6" s="14">
        <v>75000</v>
      </c>
      <c r="D6" s="264">
        <f>C6/C7</f>
        <v>25</v>
      </c>
      <c r="F6" s="25"/>
      <c r="G6" s="215" t="s">
        <v>398</v>
      </c>
      <c r="H6" s="215"/>
      <c r="I6" s="215"/>
      <c r="J6" s="215"/>
      <c r="K6" s="215"/>
      <c r="L6" s="216"/>
    </row>
    <row r="7" spans="1:13" ht="16.5" customHeight="1" x14ac:dyDescent="0.3">
      <c r="A7" s="120"/>
      <c r="B7" s="2" t="s">
        <v>329</v>
      </c>
      <c r="C7" s="17">
        <v>3000</v>
      </c>
      <c r="D7" s="264"/>
      <c r="F7" s="25"/>
      <c r="G7" s="215"/>
      <c r="H7" s="215"/>
      <c r="I7" s="215"/>
      <c r="J7" s="215"/>
      <c r="K7" s="215"/>
      <c r="L7" s="216"/>
    </row>
    <row r="8" spans="1:13" x14ac:dyDescent="0.3">
      <c r="A8" s="120"/>
      <c r="C8" s="17"/>
      <c r="D8" s="189"/>
      <c r="F8" s="190"/>
      <c r="L8" s="107"/>
    </row>
    <row r="9" spans="1:13" x14ac:dyDescent="0.3">
      <c r="A9" s="101" t="s">
        <v>330</v>
      </c>
      <c r="B9" s="102"/>
      <c r="C9" s="184"/>
      <c r="D9" s="163"/>
      <c r="E9" s="102"/>
      <c r="F9" s="103" t="s">
        <v>45</v>
      </c>
      <c r="G9" s="102"/>
      <c r="H9" s="102"/>
      <c r="I9" s="102"/>
      <c r="J9" s="102"/>
      <c r="K9" s="102"/>
      <c r="L9" s="105"/>
    </row>
    <row r="10" spans="1:13" ht="16.5" customHeight="1" x14ac:dyDescent="0.3">
      <c r="A10" s="188" t="s">
        <v>331</v>
      </c>
      <c r="B10" s="195" t="s">
        <v>332</v>
      </c>
      <c r="C10" s="14">
        <v>48000</v>
      </c>
      <c r="D10" s="264">
        <f>C10/C11</f>
        <v>16</v>
      </c>
      <c r="F10" s="25"/>
      <c r="G10" s="215" t="s">
        <v>399</v>
      </c>
      <c r="H10" s="215"/>
      <c r="I10" s="215"/>
      <c r="J10" s="215"/>
      <c r="K10" s="215"/>
      <c r="L10" s="216"/>
    </row>
    <row r="11" spans="1:13" ht="14.25" customHeight="1" x14ac:dyDescent="0.3">
      <c r="A11" s="120"/>
      <c r="B11" s="2" t="s">
        <v>329</v>
      </c>
      <c r="C11" s="17">
        <v>3000</v>
      </c>
      <c r="D11" s="264"/>
      <c r="F11" s="25"/>
      <c r="G11" s="4"/>
      <c r="H11" s="4"/>
      <c r="I11" s="4"/>
      <c r="J11" s="4"/>
      <c r="K11" s="4"/>
      <c r="L11" s="191"/>
    </row>
    <row r="12" spans="1:13" x14ac:dyDescent="0.3">
      <c r="A12" s="120"/>
      <c r="C12" s="17"/>
      <c r="D12" s="189"/>
      <c r="F12" s="190"/>
      <c r="L12" s="107"/>
    </row>
    <row r="13" spans="1:13" x14ac:dyDescent="0.3">
      <c r="A13" s="101" t="s">
        <v>333</v>
      </c>
      <c r="B13" s="102"/>
      <c r="C13" s="184"/>
      <c r="D13" s="163"/>
      <c r="E13" s="194"/>
      <c r="F13" s="103" t="s">
        <v>92</v>
      </c>
      <c r="G13" s="102"/>
      <c r="H13" s="102"/>
      <c r="I13" s="102"/>
      <c r="J13" s="102"/>
      <c r="K13" s="102"/>
      <c r="L13" s="105"/>
    </row>
    <row r="14" spans="1:13" ht="16.5" customHeight="1" x14ac:dyDescent="0.3">
      <c r="A14" s="188" t="s">
        <v>334</v>
      </c>
      <c r="B14" s="2" t="s">
        <v>335</v>
      </c>
      <c r="C14" s="2" t="s">
        <v>336</v>
      </c>
      <c r="D14" s="189">
        <f>D6-D10</f>
        <v>9</v>
      </c>
      <c r="F14" s="190"/>
      <c r="G14" s="215" t="s">
        <v>337</v>
      </c>
      <c r="H14" s="215"/>
      <c r="I14" s="215"/>
      <c r="J14" s="215"/>
      <c r="K14" s="215"/>
      <c r="L14" s="216"/>
    </row>
    <row r="15" spans="1:13" ht="16.5" customHeight="1" x14ac:dyDescent="0.3">
      <c r="A15" s="188"/>
      <c r="D15" s="189"/>
      <c r="F15" s="190"/>
      <c r="G15" s="215"/>
      <c r="H15" s="215"/>
      <c r="I15" s="215"/>
      <c r="J15" s="215"/>
      <c r="K15" s="215"/>
      <c r="L15" s="216"/>
    </row>
    <row r="16" spans="1:13" ht="14.25" customHeight="1" x14ac:dyDescent="0.3">
      <c r="A16" s="101" t="s">
        <v>338</v>
      </c>
      <c r="B16" s="102"/>
      <c r="C16" s="102"/>
      <c r="D16" s="102"/>
      <c r="E16" s="102"/>
      <c r="F16" s="103" t="s">
        <v>92</v>
      </c>
      <c r="G16" s="102"/>
      <c r="H16" s="102"/>
      <c r="I16" s="102"/>
      <c r="J16" s="102"/>
      <c r="K16" s="102"/>
      <c r="L16" s="105"/>
    </row>
    <row r="17" spans="1:12" ht="16.5" customHeight="1" x14ac:dyDescent="0.3">
      <c r="A17" s="188" t="s">
        <v>339</v>
      </c>
      <c r="B17" s="2" t="s">
        <v>340</v>
      </c>
      <c r="C17" s="15">
        <f>111000-48000</f>
        <v>63000</v>
      </c>
      <c r="F17" s="190"/>
      <c r="G17" s="215" t="s">
        <v>398</v>
      </c>
      <c r="H17" s="215"/>
      <c r="I17" s="215"/>
      <c r="J17" s="215"/>
      <c r="K17" s="215"/>
      <c r="L17" s="216"/>
    </row>
    <row r="18" spans="1:12" x14ac:dyDescent="0.3">
      <c r="A18" s="188"/>
      <c r="C18" s="15"/>
      <c r="F18" s="190"/>
      <c r="G18" s="215"/>
      <c r="H18" s="215"/>
      <c r="I18" s="215"/>
      <c r="J18" s="215"/>
      <c r="K18" s="215"/>
      <c r="L18" s="216"/>
    </row>
    <row r="19" spans="1:12" x14ac:dyDescent="0.3">
      <c r="A19" s="101" t="s">
        <v>341</v>
      </c>
      <c r="B19" s="102"/>
      <c r="C19" s="102"/>
      <c r="D19" s="102"/>
      <c r="E19" s="102"/>
      <c r="F19" s="103" t="s">
        <v>92</v>
      </c>
      <c r="G19" s="102"/>
      <c r="H19" s="102"/>
      <c r="I19" s="102"/>
      <c r="J19" s="102"/>
      <c r="K19" s="102"/>
      <c r="L19" s="105"/>
    </row>
    <row r="20" spans="1:12" x14ac:dyDescent="0.3">
      <c r="A20" s="188" t="s">
        <v>342</v>
      </c>
      <c r="B20" s="195" t="s">
        <v>143</v>
      </c>
      <c r="C20" s="14">
        <f>C17</f>
        <v>63000</v>
      </c>
      <c r="D20" s="265">
        <f>C20/C21</f>
        <v>7000</v>
      </c>
      <c r="E20" s="252" t="s">
        <v>343</v>
      </c>
      <c r="F20" s="25"/>
      <c r="G20" s="215" t="s">
        <v>337</v>
      </c>
      <c r="H20" s="215"/>
      <c r="I20" s="215"/>
      <c r="J20" s="215"/>
      <c r="K20" s="215"/>
      <c r="L20" s="107"/>
    </row>
    <row r="21" spans="1:12" ht="14.25" customHeight="1" x14ac:dyDescent="0.3">
      <c r="A21" s="108"/>
      <c r="B21" s="2" t="s">
        <v>344</v>
      </c>
      <c r="C21" s="15">
        <f>D14</f>
        <v>9</v>
      </c>
      <c r="D21" s="265"/>
      <c r="E21" s="252"/>
      <c r="F21" s="25"/>
      <c r="G21" s="215"/>
      <c r="H21" s="215"/>
      <c r="I21" s="215"/>
      <c r="J21" s="215"/>
      <c r="K21" s="215"/>
      <c r="L21" s="107"/>
    </row>
    <row r="22" spans="1:12" x14ac:dyDescent="0.3">
      <c r="A22" s="110"/>
      <c r="B22" s="13"/>
      <c r="C22" s="14"/>
      <c r="D22" s="192"/>
      <c r="E22" s="159"/>
      <c r="F22" s="193"/>
      <c r="G22" s="13"/>
      <c r="H22" s="13"/>
      <c r="I22" s="13"/>
      <c r="J22" s="13"/>
      <c r="K22" s="13"/>
      <c r="L22" s="111"/>
    </row>
    <row r="23" spans="1:12" x14ac:dyDescent="0.3">
      <c r="A23" s="101" t="s">
        <v>43</v>
      </c>
      <c r="B23" s="102"/>
      <c r="C23" s="102"/>
      <c r="D23" s="102"/>
      <c r="E23" s="102"/>
      <c r="F23" s="103" t="s">
        <v>78</v>
      </c>
      <c r="G23" s="102"/>
      <c r="H23" s="102"/>
      <c r="I23" s="102"/>
      <c r="J23" s="102"/>
      <c r="K23" s="102"/>
      <c r="L23" s="105"/>
    </row>
    <row r="24" spans="1:12" x14ac:dyDescent="0.3">
      <c r="A24" s="254" t="s">
        <v>345</v>
      </c>
      <c r="B24" s="266"/>
      <c r="C24" s="266"/>
      <c r="D24" s="266"/>
      <c r="E24" s="266"/>
      <c r="F24" s="266"/>
      <c r="G24" s="222" t="s">
        <v>400</v>
      </c>
      <c r="H24" s="222"/>
      <c r="I24" s="222"/>
      <c r="J24" s="222"/>
      <c r="K24" s="222"/>
      <c r="L24" s="107"/>
    </row>
    <row r="25" spans="1:12" ht="18" customHeight="1" x14ac:dyDescent="0.3">
      <c r="A25" s="219" t="s">
        <v>346</v>
      </c>
      <c r="B25" s="215"/>
      <c r="C25" s="196">
        <f>12000-D20</f>
        <v>5000</v>
      </c>
      <c r="D25" s="2" t="s">
        <v>343</v>
      </c>
      <c r="F25" s="25"/>
      <c r="G25" s="222"/>
      <c r="H25" s="222"/>
      <c r="I25" s="222"/>
      <c r="J25" s="222"/>
      <c r="K25" s="222"/>
      <c r="L25" s="107"/>
    </row>
    <row r="26" spans="1:12" x14ac:dyDescent="0.3">
      <c r="A26" s="188"/>
      <c r="C26" s="15">
        <f>C25*D6</f>
        <v>125000</v>
      </c>
      <c r="F26" s="25"/>
      <c r="G26" s="233" t="s">
        <v>347</v>
      </c>
      <c r="H26" s="233"/>
      <c r="I26" s="233"/>
      <c r="J26" s="233"/>
      <c r="K26" s="233"/>
      <c r="L26" s="107"/>
    </row>
    <row r="27" spans="1:12" x14ac:dyDescent="0.3">
      <c r="A27" s="188"/>
      <c r="C27" s="15"/>
      <c r="L27" s="107"/>
    </row>
    <row r="28" spans="1:12" x14ac:dyDescent="0.3">
      <c r="A28" s="101" t="s">
        <v>101</v>
      </c>
      <c r="B28" s="102"/>
      <c r="C28" s="163"/>
      <c r="D28" s="102"/>
      <c r="E28" s="102"/>
      <c r="F28" s="103" t="s">
        <v>78</v>
      </c>
      <c r="G28" s="102"/>
      <c r="H28" s="102"/>
      <c r="I28" s="102"/>
      <c r="J28" s="102"/>
      <c r="K28" s="102"/>
      <c r="L28" s="105"/>
    </row>
    <row r="29" spans="1:12" x14ac:dyDescent="0.3">
      <c r="A29" s="254" t="s">
        <v>348</v>
      </c>
      <c r="B29" s="266"/>
      <c r="C29" s="266"/>
      <c r="D29" s="266"/>
      <c r="E29" s="266"/>
      <c r="F29" s="266"/>
      <c r="G29" s="222" t="s">
        <v>349</v>
      </c>
      <c r="H29" s="222"/>
      <c r="I29" s="222"/>
      <c r="J29" s="222"/>
      <c r="K29" s="222"/>
      <c r="L29" s="107"/>
    </row>
    <row r="30" spans="1:12" ht="16.5" customHeight="1" x14ac:dyDescent="0.3">
      <c r="A30" s="219" t="s">
        <v>350</v>
      </c>
      <c r="B30" s="215"/>
      <c r="C30" s="197">
        <f>(C17+54000)/D14</f>
        <v>13000</v>
      </c>
      <c r="D30" s="6" t="s">
        <v>343</v>
      </c>
      <c r="F30" s="25"/>
      <c r="G30" s="233" t="s">
        <v>351</v>
      </c>
      <c r="H30" s="233"/>
      <c r="I30" s="233"/>
      <c r="J30" s="233"/>
      <c r="K30" s="233"/>
      <c r="L30" s="107"/>
    </row>
    <row r="31" spans="1:12" ht="14.5" x14ac:dyDescent="0.3">
      <c r="A31" s="198" t="s">
        <v>352</v>
      </c>
      <c r="L31" s="107"/>
    </row>
    <row r="32" spans="1:12" ht="15" customHeight="1" x14ac:dyDescent="0.3">
      <c r="A32" s="121" t="s">
        <v>353</v>
      </c>
      <c r="C32" s="197">
        <f>54000/9+7000</f>
        <v>13000</v>
      </c>
      <c r="D32" s="6" t="s">
        <v>343</v>
      </c>
      <c r="G32" s="222" t="s">
        <v>354</v>
      </c>
      <c r="H32" s="222"/>
      <c r="I32" s="222"/>
      <c r="J32" s="222"/>
      <c r="K32" s="222"/>
      <c r="L32" s="107"/>
    </row>
    <row r="33" spans="1:12" x14ac:dyDescent="0.3">
      <c r="A33" s="121" t="s">
        <v>355</v>
      </c>
      <c r="C33" s="197"/>
      <c r="D33" s="6"/>
      <c r="G33" s="222"/>
      <c r="H33" s="222"/>
      <c r="I33" s="222"/>
      <c r="J33" s="222"/>
      <c r="K33" s="222"/>
      <c r="L33" s="107"/>
    </row>
    <row r="34" spans="1:12" ht="14.5" x14ac:dyDescent="0.35">
      <c r="A34" s="199"/>
      <c r="G34" s="222" t="s">
        <v>356</v>
      </c>
      <c r="H34" s="222"/>
      <c r="I34" s="222"/>
      <c r="J34" s="222"/>
      <c r="K34" s="222"/>
      <c r="L34" s="107"/>
    </row>
    <row r="35" spans="1:12" x14ac:dyDescent="0.3">
      <c r="A35" s="108"/>
      <c r="G35" s="222"/>
      <c r="H35" s="222"/>
      <c r="I35" s="222"/>
      <c r="J35" s="222"/>
      <c r="K35" s="222"/>
      <c r="L35" s="107"/>
    </row>
    <row r="36" spans="1:12" x14ac:dyDescent="0.3">
      <c r="A36" s="200"/>
      <c r="B36" s="13"/>
      <c r="C36" s="13"/>
      <c r="D36" s="13"/>
      <c r="E36" s="13"/>
      <c r="F36" s="13"/>
      <c r="G36" s="13"/>
      <c r="H36" s="13"/>
      <c r="I36" s="13"/>
      <c r="J36" s="13"/>
      <c r="K36" s="13"/>
      <c r="L36" s="111"/>
    </row>
    <row r="37" spans="1:12" ht="14.5" x14ac:dyDescent="0.3">
      <c r="A37" s="23"/>
    </row>
    <row r="38" spans="1:12" x14ac:dyDescent="0.3">
      <c r="A38" s="28"/>
    </row>
    <row r="39" spans="1:12" ht="14.5" x14ac:dyDescent="0.3">
      <c r="A39" s="27"/>
    </row>
    <row r="40" spans="1:12" x14ac:dyDescent="0.3">
      <c r="A40" s="29"/>
    </row>
    <row r="41" spans="1:12" ht="14.5" x14ac:dyDescent="0.3">
      <c r="A41" s="23"/>
    </row>
    <row r="42" spans="1:12" x14ac:dyDescent="0.3">
      <c r="A42" s="28"/>
    </row>
    <row r="43" spans="1:12" ht="14.5" x14ac:dyDescent="0.35">
      <c r="A43" s="26"/>
    </row>
  </sheetData>
  <mergeCells count="20">
    <mergeCell ref="G30:K30"/>
    <mergeCell ref="G32:K33"/>
    <mergeCell ref="G34:K35"/>
    <mergeCell ref="G20:K21"/>
    <mergeCell ref="G26:K26"/>
    <mergeCell ref="G29:K29"/>
    <mergeCell ref="G24:K25"/>
    <mergeCell ref="A30:B30"/>
    <mergeCell ref="A25:B25"/>
    <mergeCell ref="D20:D21"/>
    <mergeCell ref="A24:F24"/>
    <mergeCell ref="A29:F29"/>
    <mergeCell ref="A4:L4"/>
    <mergeCell ref="D6:D7"/>
    <mergeCell ref="D10:D11"/>
    <mergeCell ref="E20:E21"/>
    <mergeCell ref="G6:L7"/>
    <mergeCell ref="G17:L18"/>
    <mergeCell ref="G14:L15"/>
    <mergeCell ref="G10:L10"/>
  </mergeCells>
  <pageMargins left="0.7" right="0.7" top="0.75" bottom="0.75" header="0.3" footer="0.3"/>
  <pageSetup paperSize="9" scale="90" fitToHeight="0" orientation="landscape" r:id="rId1"/>
  <rowBreaks count="1" manualBreakCount="1">
    <brk id="22"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0A5AA676D2624AA7FE72318C9F5667" ma:contentTypeVersion="9" ma:contentTypeDescription="Create a new document." ma:contentTypeScope="" ma:versionID="358a5ef181cdb1446f38a954382be277">
  <xsd:schema xmlns:xsd="http://www.w3.org/2001/XMLSchema" xmlns:xs="http://www.w3.org/2001/XMLSchema" xmlns:p="http://schemas.microsoft.com/office/2006/metadata/properties" xmlns:ns2="d125b3f6-d0e6-4703-adf4-6684bfb85344" xmlns:ns3="04c0c4c1-8f5a-4404-9dca-a6e74bdc6e20" targetNamespace="http://schemas.microsoft.com/office/2006/metadata/properties" ma:root="true" ma:fieldsID="ac42521e83239926d934d6122d2bb789" ns2:_="" ns3:_="">
    <xsd:import namespace="d125b3f6-d0e6-4703-adf4-6684bfb85344"/>
    <xsd:import namespace="04c0c4c1-8f5a-4404-9dca-a6e74bdc6e2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25b3f6-d0e6-4703-adf4-6684bfb85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0c4c1-8f5a-4404-9dca-a6e74bdc6e2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C1C5F2-470D-4645-AE71-E0A931531C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25b3f6-d0e6-4703-adf4-6684bfb85344"/>
    <ds:schemaRef ds:uri="04c0c4c1-8f5a-4404-9dca-a6e74bdc6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3310014-6E09-456B-AEDC-07C346E9FE9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3858202-640D-4265-9155-46C28D64B7B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Question 1 Part A</vt:lpstr>
      <vt:lpstr>Q1 Part A Notes</vt:lpstr>
      <vt:lpstr>Question 1 Part B</vt:lpstr>
      <vt:lpstr>Question 2</vt:lpstr>
      <vt:lpstr>Q2 Alt sol</vt:lpstr>
      <vt:lpstr>Question 3</vt:lpstr>
      <vt:lpstr>Question 4</vt:lpstr>
      <vt:lpstr>Question 5</vt:lpstr>
      <vt:lpstr>Question 6</vt:lpstr>
    </vt:vector>
  </TitlesOfParts>
  <Manager/>
  <Company>SQA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Diane Santana</dc:creator>
  <cp:keywords/>
  <dc:description/>
  <cp:lastModifiedBy>Lindsay Thomson</cp:lastModifiedBy>
  <cp:revision/>
  <cp:lastPrinted>2023-07-06T14:56:58Z</cp:lastPrinted>
  <dcterms:created xsi:type="dcterms:W3CDTF">2022-08-23T10:22:55Z</dcterms:created>
  <dcterms:modified xsi:type="dcterms:W3CDTF">2023-08-03T11:38:38Z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0x010100120A5AA676D2624AA7FE72318C9F5667</vt:lpwstr>
  </property>
</Properties>
</file>